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052" windowHeight="13445" activeTab="0"/>
  </bookViews>
  <sheets>
    <sheet name="汇总表 " sheetId="1" r:id="rId1"/>
  </sheets>
  <definedNames>
    <definedName name="_xlnm.Print_Titles" localSheetId="0">'汇总表 '!$1:$2</definedName>
  </definedNames>
  <calcPr fullCalcOnLoad="1"/>
</workbook>
</file>

<file path=xl/sharedStrings.xml><?xml version="1.0" encoding="utf-8"?>
<sst xmlns="http://schemas.openxmlformats.org/spreadsheetml/2006/main" count="1119" uniqueCount="30">
  <si>
    <t>海南省公安厅公开招聘警务辅助人员第一批拟聘用人员名单</t>
  </si>
  <si>
    <t>序号</t>
  </si>
  <si>
    <t>姓名</t>
  </si>
  <si>
    <t>报考岗位</t>
  </si>
  <si>
    <t>准考证号</t>
  </si>
  <si>
    <t>综合成绩</t>
  </si>
  <si>
    <t>体检结果</t>
  </si>
  <si>
    <t>考察结果</t>
  </si>
  <si>
    <t>备注</t>
  </si>
  <si>
    <t>留置监管看护岗位1(男)</t>
  </si>
  <si>
    <t>合格</t>
  </si>
  <si>
    <t>留置监管看护岗位2(女)</t>
  </si>
  <si>
    <t>留置监管看护岗位3(男)</t>
  </si>
  <si>
    <t>留置监管看护岗位4(女)</t>
  </si>
  <si>
    <t>反诈执勤岗位1（男）</t>
  </si>
  <si>
    <t>反诈执勤岗位2（女）</t>
  </si>
  <si>
    <t>第一支队执勤岗位1（海口-男）</t>
  </si>
  <si>
    <t>第一支队执勤岗位2（澄迈-男）</t>
  </si>
  <si>
    <t>第二支队执勤岗位（文昌-男）</t>
  </si>
  <si>
    <t>第三支队执勤岗位1（琼海-男）</t>
  </si>
  <si>
    <t>第三支队执勤岗位2（万宁-男）</t>
  </si>
  <si>
    <t>第四支队执勤岗位1（三亚-男）</t>
  </si>
  <si>
    <t>第四支队执勤岗位2（陵水-男）</t>
  </si>
  <si>
    <t>第五支队执勤岗位（乐东-男）</t>
  </si>
  <si>
    <t>第六支队执勤岗位（东方-男）</t>
  </si>
  <si>
    <t>第七支队执勤岗位1（儋州-男）</t>
  </si>
  <si>
    <t>第七支队执勤岗位2（洋浦-男）</t>
  </si>
  <si>
    <t>第七支队执勤岗位3（临高-男）</t>
  </si>
  <si>
    <t>看守岗位2（海口-女）</t>
  </si>
  <si>
    <t>看守岗位1（海口-男）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</si>
</sst>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黑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  <font>
      <b/>
      <sz val="14"/>
      <color theme="1"/>
      <name val="黑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35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46" fillId="0" borderId="0" xfId="0" applyNumberFormat="1" applyFont="1" applyFill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 applyProtection="1">
      <alignment horizontal="center" vertical="center"/>
      <protection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72"/>
  <sheetViews>
    <sheetView tabSelected="1" zoomScale="85" zoomScaleNormal="85" zoomScaleSheetLayoutView="100" workbookViewId="0" topLeftCell="A1">
      <selection activeCell="M10" sqref="M10"/>
    </sheetView>
  </sheetViews>
  <sheetFormatPr defaultColWidth="9.140625" defaultRowHeight="30" customHeight="1"/>
  <cols>
    <col min="1" max="1" width="5.8515625" style="4" customWidth="1"/>
    <col min="2" max="2" width="13.00390625" style="4" customWidth="1"/>
    <col min="3" max="3" width="33.28125" style="4" customWidth="1"/>
    <col min="4" max="4" width="19.8515625" style="5" customWidth="1"/>
    <col min="5" max="5" width="12.7109375" style="6" customWidth="1"/>
    <col min="6" max="6" width="10.8515625" style="6" customWidth="1"/>
    <col min="7" max="7" width="12.7109375" style="6" customWidth="1"/>
    <col min="8" max="8" width="8.57421875" style="6" customWidth="1"/>
    <col min="9" max="170" width="9.140625" style="4" customWidth="1"/>
    <col min="171" max="201" width="9.00390625" style="4" bestFit="1" customWidth="1"/>
    <col min="202" max="254" width="9.140625" style="7" customWidth="1"/>
    <col min="256" max="256" width="9.140625" style="7" customWidth="1"/>
  </cols>
  <sheetData>
    <row r="1" spans="1:8" ht="27" customHeight="1">
      <c r="A1" s="8" t="s">
        <v>0</v>
      </c>
      <c r="B1" s="8"/>
      <c r="C1" s="8"/>
      <c r="D1" s="8"/>
      <c r="E1" s="15"/>
      <c r="F1" s="15"/>
      <c r="G1" s="15"/>
      <c r="H1" s="15"/>
    </row>
    <row r="2" spans="1:8" s="1" customFormat="1" ht="37.5" customHeight="1">
      <c r="A2" s="9" t="s">
        <v>1</v>
      </c>
      <c r="B2" s="10" t="s">
        <v>2</v>
      </c>
      <c r="C2" s="10" t="s">
        <v>3</v>
      </c>
      <c r="D2" s="10" t="s">
        <v>4</v>
      </c>
      <c r="E2" s="16" t="s">
        <v>5</v>
      </c>
      <c r="F2" s="16" t="s">
        <v>6</v>
      </c>
      <c r="G2" s="17" t="s">
        <v>7</v>
      </c>
      <c r="H2" s="16" t="s">
        <v>8</v>
      </c>
    </row>
    <row r="3" spans="1:254" s="2" customFormat="1" ht="24.75" customHeight="1">
      <c r="A3" s="11">
        <v>1</v>
      </c>
      <c r="B3" s="12" t="str">
        <f>"黄青权"</f>
        <v>黄青权</v>
      </c>
      <c r="C3" s="13" t="s">
        <v>9</v>
      </c>
      <c r="D3" s="13" t="str">
        <f>"230702100430"</f>
        <v>230702100430</v>
      </c>
      <c r="E3" s="18">
        <v>72.35</v>
      </c>
      <c r="F3" s="19" t="s">
        <v>10</v>
      </c>
      <c r="G3" s="19" t="s">
        <v>10</v>
      </c>
      <c r="H3" s="11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</row>
    <row r="4" spans="1:254" s="2" customFormat="1" ht="24.75" customHeight="1">
      <c r="A4" s="11">
        <v>2</v>
      </c>
      <c r="B4" s="12" t="str">
        <f>"马林洪"</f>
        <v>马林洪</v>
      </c>
      <c r="C4" s="13" t="s">
        <v>9</v>
      </c>
      <c r="D4" s="13" t="str">
        <f>"230702100510"</f>
        <v>230702100510</v>
      </c>
      <c r="E4" s="18">
        <v>71.95</v>
      </c>
      <c r="F4" s="19" t="s">
        <v>10</v>
      </c>
      <c r="G4" s="19" t="s">
        <v>10</v>
      </c>
      <c r="H4" s="11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</row>
    <row r="5" spans="1:254" s="2" customFormat="1" ht="24.75" customHeight="1">
      <c r="A5" s="11">
        <v>3</v>
      </c>
      <c r="B5" s="12" t="str">
        <f>"冯志钠"</f>
        <v>冯志钠</v>
      </c>
      <c r="C5" s="13" t="s">
        <v>9</v>
      </c>
      <c r="D5" s="13" t="str">
        <f>"230702100602"</f>
        <v>230702100602</v>
      </c>
      <c r="E5" s="18">
        <v>71.6</v>
      </c>
      <c r="F5" s="19" t="s">
        <v>10</v>
      </c>
      <c r="G5" s="19" t="s">
        <v>10</v>
      </c>
      <c r="H5" s="11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</row>
    <row r="6" spans="1:254" s="2" customFormat="1" ht="24.75" customHeight="1">
      <c r="A6" s="11">
        <v>4</v>
      </c>
      <c r="B6" s="12" t="str">
        <f>"王居易"</f>
        <v>王居易</v>
      </c>
      <c r="C6" s="13" t="s">
        <v>9</v>
      </c>
      <c r="D6" s="13" t="str">
        <f>"230702100513"</f>
        <v>230702100513</v>
      </c>
      <c r="E6" s="18">
        <v>71.185</v>
      </c>
      <c r="F6" s="19" t="s">
        <v>10</v>
      </c>
      <c r="G6" s="19" t="s">
        <v>10</v>
      </c>
      <c r="H6" s="11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</row>
    <row r="7" spans="1:254" s="2" customFormat="1" ht="24.75" customHeight="1">
      <c r="A7" s="11">
        <v>5</v>
      </c>
      <c r="B7" s="12" t="str">
        <f>"王啓东"</f>
        <v>王啓东</v>
      </c>
      <c r="C7" s="13" t="s">
        <v>9</v>
      </c>
      <c r="D7" s="13" t="str">
        <f>"230702100612"</f>
        <v>230702100612</v>
      </c>
      <c r="E7" s="18">
        <v>69</v>
      </c>
      <c r="F7" s="19" t="s">
        <v>10</v>
      </c>
      <c r="G7" s="19" t="s">
        <v>10</v>
      </c>
      <c r="H7" s="11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</row>
    <row r="8" spans="1:254" s="2" customFormat="1" ht="24.75" customHeight="1">
      <c r="A8" s="11">
        <v>6</v>
      </c>
      <c r="B8" s="12" t="str">
        <f>"李庆河"</f>
        <v>李庆河</v>
      </c>
      <c r="C8" s="13" t="s">
        <v>9</v>
      </c>
      <c r="D8" s="13" t="str">
        <f>"230702100406"</f>
        <v>230702100406</v>
      </c>
      <c r="E8" s="18">
        <v>68.7</v>
      </c>
      <c r="F8" s="19" t="s">
        <v>10</v>
      </c>
      <c r="G8" s="19" t="s">
        <v>10</v>
      </c>
      <c r="H8" s="11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</row>
    <row r="9" spans="1:254" s="2" customFormat="1" ht="24.75" customHeight="1">
      <c r="A9" s="11">
        <v>7</v>
      </c>
      <c r="B9" s="12" t="str">
        <f>"程范德"</f>
        <v>程范德</v>
      </c>
      <c r="C9" s="13" t="s">
        <v>9</v>
      </c>
      <c r="D9" s="13" t="str">
        <f>"230702100403"</f>
        <v>230702100403</v>
      </c>
      <c r="E9" s="18">
        <v>68.5</v>
      </c>
      <c r="F9" s="19" t="s">
        <v>10</v>
      </c>
      <c r="G9" s="19" t="s">
        <v>10</v>
      </c>
      <c r="H9" s="11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</row>
    <row r="10" spans="1:254" s="2" customFormat="1" ht="24.75" customHeight="1">
      <c r="A10" s="11">
        <v>8</v>
      </c>
      <c r="B10" s="12" t="str">
        <f>"杜佶育"</f>
        <v>杜佶育</v>
      </c>
      <c r="C10" s="13" t="s">
        <v>9</v>
      </c>
      <c r="D10" s="13" t="str">
        <f>"230702100702"</f>
        <v>230702100702</v>
      </c>
      <c r="E10" s="18">
        <v>67.515</v>
      </c>
      <c r="F10" s="19" t="s">
        <v>10</v>
      </c>
      <c r="G10" s="19" t="s">
        <v>10</v>
      </c>
      <c r="H10" s="11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</row>
    <row r="11" spans="1:254" s="2" customFormat="1" ht="24.75" customHeight="1">
      <c r="A11" s="11">
        <v>9</v>
      </c>
      <c r="B11" s="12" t="str">
        <f>"李先鸿"</f>
        <v>李先鸿</v>
      </c>
      <c r="C11" s="13" t="s">
        <v>9</v>
      </c>
      <c r="D11" s="13" t="str">
        <f>"230702100405"</f>
        <v>230702100405</v>
      </c>
      <c r="E11" s="18">
        <v>67.1</v>
      </c>
      <c r="F11" s="19" t="s">
        <v>10</v>
      </c>
      <c r="G11" s="19" t="s">
        <v>10</v>
      </c>
      <c r="H11" s="11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</row>
    <row r="12" spans="1:254" s="2" customFormat="1" ht="24.75" customHeight="1">
      <c r="A12" s="11">
        <v>10</v>
      </c>
      <c r="B12" s="12" t="str">
        <f>"闫威"</f>
        <v>闫威</v>
      </c>
      <c r="C12" s="13" t="s">
        <v>9</v>
      </c>
      <c r="D12" s="13" t="str">
        <f>"230702100111"</f>
        <v>230702100111</v>
      </c>
      <c r="E12" s="18">
        <v>65.61500000000001</v>
      </c>
      <c r="F12" s="19" t="s">
        <v>10</v>
      </c>
      <c r="G12" s="19" t="s">
        <v>10</v>
      </c>
      <c r="H12" s="11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</row>
    <row r="13" spans="1:254" s="2" customFormat="1" ht="24.75" customHeight="1">
      <c r="A13" s="11">
        <v>11</v>
      </c>
      <c r="B13" s="12" t="str">
        <f>"吉家平"</f>
        <v>吉家平</v>
      </c>
      <c r="C13" s="13" t="s">
        <v>9</v>
      </c>
      <c r="D13" s="13" t="str">
        <f>"230702100323"</f>
        <v>230702100323</v>
      </c>
      <c r="E13" s="18">
        <v>65.215</v>
      </c>
      <c r="F13" s="19" t="s">
        <v>10</v>
      </c>
      <c r="G13" s="19" t="s">
        <v>10</v>
      </c>
      <c r="H13" s="11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</row>
    <row r="14" spans="1:254" s="2" customFormat="1" ht="24.75" customHeight="1">
      <c r="A14" s="11">
        <v>12</v>
      </c>
      <c r="B14" s="12" t="str">
        <f>"蔡为治"</f>
        <v>蔡为治</v>
      </c>
      <c r="C14" s="13" t="s">
        <v>9</v>
      </c>
      <c r="D14" s="13" t="str">
        <f>"230702100124"</f>
        <v>230702100124</v>
      </c>
      <c r="E14" s="18">
        <v>64.8</v>
      </c>
      <c r="F14" s="19" t="s">
        <v>10</v>
      </c>
      <c r="G14" s="19" t="s">
        <v>10</v>
      </c>
      <c r="H14" s="11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</row>
    <row r="15" spans="1:254" s="2" customFormat="1" ht="24.75" customHeight="1">
      <c r="A15" s="11">
        <v>13</v>
      </c>
      <c r="B15" s="12" t="str">
        <f>"方华钦"</f>
        <v>方华钦</v>
      </c>
      <c r="C15" s="13" t="s">
        <v>9</v>
      </c>
      <c r="D15" s="13" t="str">
        <f>"230702100314"</f>
        <v>230702100314</v>
      </c>
      <c r="E15" s="18">
        <v>64.735</v>
      </c>
      <c r="F15" s="19" t="s">
        <v>10</v>
      </c>
      <c r="G15" s="19" t="s">
        <v>10</v>
      </c>
      <c r="H15" s="11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</row>
    <row r="16" spans="1:254" s="2" customFormat="1" ht="24.75" customHeight="1">
      <c r="A16" s="11">
        <v>14</v>
      </c>
      <c r="B16" s="12" t="str">
        <f>"欧志宇"</f>
        <v>欧志宇</v>
      </c>
      <c r="C16" s="13" t="s">
        <v>9</v>
      </c>
      <c r="D16" s="13" t="str">
        <f>"230702100514"</f>
        <v>230702100514</v>
      </c>
      <c r="E16" s="18">
        <v>64.715</v>
      </c>
      <c r="F16" s="19" t="s">
        <v>10</v>
      </c>
      <c r="G16" s="19" t="s">
        <v>10</v>
      </c>
      <c r="H16" s="11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</row>
    <row r="17" spans="1:254" s="2" customFormat="1" ht="24.75" customHeight="1">
      <c r="A17" s="11">
        <v>15</v>
      </c>
      <c r="B17" s="12" t="str">
        <f>"王宝龙"</f>
        <v>王宝龙</v>
      </c>
      <c r="C17" s="13" t="s">
        <v>9</v>
      </c>
      <c r="D17" s="13" t="str">
        <f>"230702100305"</f>
        <v>230702100305</v>
      </c>
      <c r="E17" s="18">
        <v>64.41499999999999</v>
      </c>
      <c r="F17" s="19" t="s">
        <v>10</v>
      </c>
      <c r="G17" s="19" t="s">
        <v>10</v>
      </c>
      <c r="H17" s="11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</row>
    <row r="18" spans="1:254" s="2" customFormat="1" ht="24.75" customHeight="1">
      <c r="A18" s="11">
        <v>16</v>
      </c>
      <c r="B18" s="12" t="str">
        <f>"庄冠熹"</f>
        <v>庄冠熹</v>
      </c>
      <c r="C18" s="13" t="s">
        <v>9</v>
      </c>
      <c r="D18" s="13" t="str">
        <f>"230702100207"</f>
        <v>230702100207</v>
      </c>
      <c r="E18" s="18">
        <v>64.285</v>
      </c>
      <c r="F18" s="19" t="s">
        <v>10</v>
      </c>
      <c r="G18" s="19" t="s">
        <v>10</v>
      </c>
      <c r="H18" s="11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</row>
    <row r="19" spans="1:254" s="2" customFormat="1" ht="24.75" customHeight="1">
      <c r="A19" s="11">
        <v>17</v>
      </c>
      <c r="B19" s="12" t="str">
        <f>"赵诗书"</f>
        <v>赵诗书</v>
      </c>
      <c r="C19" s="13" t="s">
        <v>9</v>
      </c>
      <c r="D19" s="13" t="str">
        <f>"230702100118"</f>
        <v>230702100118</v>
      </c>
      <c r="E19" s="18">
        <v>64.235</v>
      </c>
      <c r="F19" s="19" t="s">
        <v>10</v>
      </c>
      <c r="G19" s="19" t="s">
        <v>10</v>
      </c>
      <c r="H19" s="11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</row>
    <row r="20" spans="1:254" s="2" customFormat="1" ht="24.75" customHeight="1">
      <c r="A20" s="11">
        <v>18</v>
      </c>
      <c r="B20" s="12" t="str">
        <f>"卓伯参"</f>
        <v>卓伯参</v>
      </c>
      <c r="C20" s="13" t="s">
        <v>9</v>
      </c>
      <c r="D20" s="13" t="str">
        <f>"230702100225"</f>
        <v>230702100225</v>
      </c>
      <c r="E20" s="18">
        <v>64.235</v>
      </c>
      <c r="F20" s="19" t="s">
        <v>10</v>
      </c>
      <c r="G20" s="19" t="s">
        <v>10</v>
      </c>
      <c r="H20" s="11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</row>
    <row r="21" spans="1:254" s="2" customFormat="1" ht="24.75" customHeight="1">
      <c r="A21" s="11">
        <v>19</v>
      </c>
      <c r="B21" s="12" t="str">
        <f>"赵继敏"</f>
        <v>赵继敏</v>
      </c>
      <c r="C21" s="13" t="s">
        <v>9</v>
      </c>
      <c r="D21" s="13" t="str">
        <f>"230702100320"</f>
        <v>230702100320</v>
      </c>
      <c r="E21" s="18">
        <v>64</v>
      </c>
      <c r="F21" s="19" t="s">
        <v>10</v>
      </c>
      <c r="G21" s="19" t="s">
        <v>10</v>
      </c>
      <c r="H21" s="11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</row>
    <row r="22" spans="1:254" s="2" customFormat="1" ht="24.75" customHeight="1">
      <c r="A22" s="11">
        <v>20</v>
      </c>
      <c r="B22" s="12" t="str">
        <f>"马强强"</f>
        <v>马强强</v>
      </c>
      <c r="C22" s="13" t="s">
        <v>9</v>
      </c>
      <c r="D22" s="13" t="str">
        <f>"230702100127"</f>
        <v>230702100127</v>
      </c>
      <c r="E22" s="18">
        <v>63.665</v>
      </c>
      <c r="F22" s="19" t="s">
        <v>10</v>
      </c>
      <c r="G22" s="19" t="s">
        <v>10</v>
      </c>
      <c r="H22" s="11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</row>
    <row r="23" spans="1:254" s="2" customFormat="1" ht="24.75" customHeight="1">
      <c r="A23" s="11">
        <v>21</v>
      </c>
      <c r="B23" s="12" t="str">
        <f>"杜绍辉"</f>
        <v>杜绍辉</v>
      </c>
      <c r="C23" s="13" t="s">
        <v>9</v>
      </c>
      <c r="D23" s="13" t="str">
        <f>"230702100617"</f>
        <v>230702100617</v>
      </c>
      <c r="E23" s="18">
        <v>63.635</v>
      </c>
      <c r="F23" s="19" t="s">
        <v>10</v>
      </c>
      <c r="G23" s="19" t="s">
        <v>10</v>
      </c>
      <c r="H23" s="11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</row>
    <row r="24" spans="1:254" s="2" customFormat="1" ht="24.75" customHeight="1">
      <c r="A24" s="11">
        <v>22</v>
      </c>
      <c r="B24" s="12" t="str">
        <f>"周安义"</f>
        <v>周安义</v>
      </c>
      <c r="C24" s="13" t="s">
        <v>9</v>
      </c>
      <c r="D24" s="13" t="str">
        <f>"230702100411"</f>
        <v>230702100411</v>
      </c>
      <c r="E24" s="18">
        <v>63.485</v>
      </c>
      <c r="F24" s="19" t="s">
        <v>10</v>
      </c>
      <c r="G24" s="19" t="s">
        <v>10</v>
      </c>
      <c r="H24" s="11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</row>
    <row r="25" spans="1:254" s="2" customFormat="1" ht="24.75" customHeight="1">
      <c r="A25" s="11">
        <v>23</v>
      </c>
      <c r="B25" s="12" t="str">
        <f>"薛以华"</f>
        <v>薛以华</v>
      </c>
      <c r="C25" s="13" t="s">
        <v>9</v>
      </c>
      <c r="D25" s="13" t="str">
        <f>"230702100523"</f>
        <v>230702100523</v>
      </c>
      <c r="E25" s="18">
        <v>63.385</v>
      </c>
      <c r="F25" s="19" t="s">
        <v>10</v>
      </c>
      <c r="G25" s="19" t="s">
        <v>10</v>
      </c>
      <c r="H25" s="1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</row>
    <row r="26" spans="1:254" s="2" customFormat="1" ht="24.75" customHeight="1">
      <c r="A26" s="11">
        <v>24</v>
      </c>
      <c r="B26" s="12" t="str">
        <f>"韩冰"</f>
        <v>韩冰</v>
      </c>
      <c r="C26" s="13" t="s">
        <v>9</v>
      </c>
      <c r="D26" s="13" t="str">
        <f>"230702100203"</f>
        <v>230702100203</v>
      </c>
      <c r="E26" s="18">
        <v>63.3</v>
      </c>
      <c r="F26" s="19" t="s">
        <v>10</v>
      </c>
      <c r="G26" s="19" t="s">
        <v>10</v>
      </c>
      <c r="H26" s="1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</row>
    <row r="27" spans="1:254" s="2" customFormat="1" ht="24.75" customHeight="1">
      <c r="A27" s="11">
        <v>25</v>
      </c>
      <c r="B27" s="12" t="str">
        <f>"刘传基"</f>
        <v>刘传基</v>
      </c>
      <c r="C27" s="13" t="s">
        <v>9</v>
      </c>
      <c r="D27" s="13" t="str">
        <f>"230702100221"</f>
        <v>230702100221</v>
      </c>
      <c r="E27" s="18">
        <v>62.85</v>
      </c>
      <c r="F27" s="19" t="s">
        <v>10</v>
      </c>
      <c r="G27" s="19" t="s">
        <v>10</v>
      </c>
      <c r="H27" s="1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</row>
    <row r="28" spans="1:254" s="2" customFormat="1" ht="24.75" customHeight="1">
      <c r="A28" s="11">
        <v>26</v>
      </c>
      <c r="B28" s="12" t="str">
        <f>"郑宁果"</f>
        <v>郑宁果</v>
      </c>
      <c r="C28" s="13" t="s">
        <v>9</v>
      </c>
      <c r="D28" s="13" t="str">
        <f>"230702100628"</f>
        <v>230702100628</v>
      </c>
      <c r="E28" s="18">
        <v>62.715</v>
      </c>
      <c r="F28" s="19" t="s">
        <v>10</v>
      </c>
      <c r="G28" s="19" t="s">
        <v>10</v>
      </c>
      <c r="H28" s="1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</row>
    <row r="29" spans="1:254" s="2" customFormat="1" ht="24.75" customHeight="1">
      <c r="A29" s="11">
        <v>27</v>
      </c>
      <c r="B29" s="12" t="str">
        <f>"文宇旋"</f>
        <v>文宇旋</v>
      </c>
      <c r="C29" s="13" t="s">
        <v>9</v>
      </c>
      <c r="D29" s="13" t="str">
        <f>"230702100322"</f>
        <v>230702100322</v>
      </c>
      <c r="E29" s="18">
        <v>62.5</v>
      </c>
      <c r="F29" s="19" t="s">
        <v>10</v>
      </c>
      <c r="G29" s="19" t="s">
        <v>10</v>
      </c>
      <c r="H29" s="1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</row>
    <row r="30" spans="1:254" s="2" customFormat="1" ht="24.75" customHeight="1">
      <c r="A30" s="11">
        <v>28</v>
      </c>
      <c r="B30" s="12" t="str">
        <f>"王子明"</f>
        <v>王子明</v>
      </c>
      <c r="C30" s="13" t="s">
        <v>9</v>
      </c>
      <c r="D30" s="13" t="str">
        <f>"230702100115"</f>
        <v>230702100115</v>
      </c>
      <c r="E30" s="18">
        <v>62.365</v>
      </c>
      <c r="F30" s="19" t="s">
        <v>10</v>
      </c>
      <c r="G30" s="19" t="s">
        <v>10</v>
      </c>
      <c r="H30" s="1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</row>
    <row r="31" spans="1:254" s="2" customFormat="1" ht="24.75" customHeight="1">
      <c r="A31" s="11">
        <v>29</v>
      </c>
      <c r="B31" s="12" t="str">
        <f>"周培宏"</f>
        <v>周培宏</v>
      </c>
      <c r="C31" s="13" t="s">
        <v>9</v>
      </c>
      <c r="D31" s="13" t="str">
        <f>"230702100417"</f>
        <v>230702100417</v>
      </c>
      <c r="E31" s="18">
        <v>62.35</v>
      </c>
      <c r="F31" s="19" t="s">
        <v>10</v>
      </c>
      <c r="G31" s="19" t="s">
        <v>10</v>
      </c>
      <c r="H31" s="1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</row>
    <row r="32" spans="1:254" s="2" customFormat="1" ht="24.75" customHeight="1">
      <c r="A32" s="11">
        <v>30</v>
      </c>
      <c r="B32" s="12" t="str">
        <f>"吴淑才"</f>
        <v>吴淑才</v>
      </c>
      <c r="C32" s="13" t="s">
        <v>9</v>
      </c>
      <c r="D32" s="13" t="str">
        <f>"230702100605"</f>
        <v>230702100605</v>
      </c>
      <c r="E32" s="18">
        <v>62.285</v>
      </c>
      <c r="F32" s="19" t="s">
        <v>10</v>
      </c>
      <c r="G32" s="19" t="s">
        <v>10</v>
      </c>
      <c r="H32" s="11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</row>
    <row r="33" spans="1:254" s="2" customFormat="1" ht="24.75" customHeight="1">
      <c r="A33" s="11">
        <v>31</v>
      </c>
      <c r="B33" s="12" t="str">
        <f>"王泰警"</f>
        <v>王泰警</v>
      </c>
      <c r="C33" s="13" t="s">
        <v>9</v>
      </c>
      <c r="D33" s="13" t="str">
        <f>"230702100622"</f>
        <v>230702100622</v>
      </c>
      <c r="E33" s="18">
        <v>62.15</v>
      </c>
      <c r="F33" s="19" t="s">
        <v>10</v>
      </c>
      <c r="G33" s="19" t="s">
        <v>10</v>
      </c>
      <c r="H33" s="1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</row>
    <row r="34" spans="1:254" s="2" customFormat="1" ht="24.75" customHeight="1">
      <c r="A34" s="11">
        <v>32</v>
      </c>
      <c r="B34" s="12" t="str">
        <f>"陈亚弟"</f>
        <v>陈亚弟</v>
      </c>
      <c r="C34" s="13" t="s">
        <v>9</v>
      </c>
      <c r="D34" s="13" t="str">
        <f>"230702100618"</f>
        <v>230702100618</v>
      </c>
      <c r="E34" s="18">
        <v>61.615</v>
      </c>
      <c r="F34" s="19" t="s">
        <v>10</v>
      </c>
      <c r="G34" s="19" t="s">
        <v>10</v>
      </c>
      <c r="H34" s="1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</row>
    <row r="35" spans="1:254" s="2" customFormat="1" ht="24.75" customHeight="1">
      <c r="A35" s="11">
        <v>33</v>
      </c>
      <c r="B35" s="12" t="str">
        <f>"梅声卫"</f>
        <v>梅声卫</v>
      </c>
      <c r="C35" s="13" t="s">
        <v>9</v>
      </c>
      <c r="D35" s="13" t="str">
        <f>"230702100130"</f>
        <v>230702100130</v>
      </c>
      <c r="E35" s="18">
        <v>61.485</v>
      </c>
      <c r="F35" s="19" t="s">
        <v>10</v>
      </c>
      <c r="G35" s="19" t="s">
        <v>10</v>
      </c>
      <c r="H35" s="1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</row>
    <row r="36" spans="1:254" s="2" customFormat="1" ht="24.75" customHeight="1">
      <c r="A36" s="11">
        <v>34</v>
      </c>
      <c r="B36" s="12" t="str">
        <f>"孙昊"</f>
        <v>孙昊</v>
      </c>
      <c r="C36" s="13" t="s">
        <v>9</v>
      </c>
      <c r="D36" s="13" t="str">
        <f>"230702100119"</f>
        <v>230702100119</v>
      </c>
      <c r="E36" s="18">
        <v>61.465</v>
      </c>
      <c r="F36" s="19" t="s">
        <v>10</v>
      </c>
      <c r="G36" s="19" t="s">
        <v>10</v>
      </c>
      <c r="H36" s="1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</row>
    <row r="37" spans="1:254" s="2" customFormat="1" ht="24.75" customHeight="1">
      <c r="A37" s="11">
        <v>35</v>
      </c>
      <c r="B37" s="12" t="str">
        <f>"黄翔榆"</f>
        <v>黄翔榆</v>
      </c>
      <c r="C37" s="13" t="s">
        <v>9</v>
      </c>
      <c r="D37" s="13" t="str">
        <f>"230702100223"</f>
        <v>230702100223</v>
      </c>
      <c r="E37" s="18">
        <v>61.285</v>
      </c>
      <c r="F37" s="19" t="s">
        <v>10</v>
      </c>
      <c r="G37" s="19" t="s">
        <v>10</v>
      </c>
      <c r="H37" s="11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</row>
    <row r="38" spans="1:254" s="2" customFormat="1" ht="24.75" customHeight="1">
      <c r="A38" s="11">
        <v>36</v>
      </c>
      <c r="B38" s="12" t="str">
        <f>"陈兴王"</f>
        <v>陈兴王</v>
      </c>
      <c r="C38" s="13" t="s">
        <v>9</v>
      </c>
      <c r="D38" s="13" t="str">
        <f>"230702100501"</f>
        <v>230702100501</v>
      </c>
      <c r="E38" s="18">
        <v>61.285</v>
      </c>
      <c r="F38" s="19" t="s">
        <v>10</v>
      </c>
      <c r="G38" s="19" t="s">
        <v>10</v>
      </c>
      <c r="H38" s="11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</row>
    <row r="39" spans="1:254" s="2" customFormat="1" ht="24.75" customHeight="1">
      <c r="A39" s="11">
        <v>37</v>
      </c>
      <c r="B39" s="12" t="str">
        <f>"李後锦"</f>
        <v>李後锦</v>
      </c>
      <c r="C39" s="13" t="s">
        <v>9</v>
      </c>
      <c r="D39" s="13" t="str">
        <f>"230702100123"</f>
        <v>230702100123</v>
      </c>
      <c r="E39" s="18">
        <v>61.235</v>
      </c>
      <c r="F39" s="19" t="s">
        <v>10</v>
      </c>
      <c r="G39" s="19" t="s">
        <v>10</v>
      </c>
      <c r="H39" s="11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</row>
    <row r="40" spans="1:254" s="2" customFormat="1" ht="24.75" customHeight="1">
      <c r="A40" s="11">
        <v>38</v>
      </c>
      <c r="B40" s="12" t="str">
        <f>"王泽华"</f>
        <v>王泽华</v>
      </c>
      <c r="C40" s="13" t="s">
        <v>9</v>
      </c>
      <c r="D40" s="13" t="str">
        <f>"230702100526"</f>
        <v>230702100526</v>
      </c>
      <c r="E40" s="18">
        <v>61.035</v>
      </c>
      <c r="F40" s="19" t="s">
        <v>10</v>
      </c>
      <c r="G40" s="19" t="s">
        <v>10</v>
      </c>
      <c r="H40" s="11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</row>
    <row r="41" spans="1:254" s="2" customFormat="1" ht="24.75" customHeight="1">
      <c r="A41" s="11">
        <v>39</v>
      </c>
      <c r="B41" s="12" t="str">
        <f>"秦万辉"</f>
        <v>秦万辉</v>
      </c>
      <c r="C41" s="13" t="s">
        <v>9</v>
      </c>
      <c r="D41" s="13" t="str">
        <f>"230702100301"</f>
        <v>230702100301</v>
      </c>
      <c r="E41" s="18">
        <v>61.015</v>
      </c>
      <c r="F41" s="19" t="s">
        <v>10</v>
      </c>
      <c r="G41" s="19" t="s">
        <v>10</v>
      </c>
      <c r="H41" s="11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</row>
    <row r="42" spans="1:254" s="2" customFormat="1" ht="24.75" customHeight="1">
      <c r="A42" s="11">
        <v>40</v>
      </c>
      <c r="B42" s="12" t="str">
        <f>"王辉宇"</f>
        <v>王辉宇</v>
      </c>
      <c r="C42" s="13" t="s">
        <v>9</v>
      </c>
      <c r="D42" s="13" t="str">
        <f>"230702100105"</f>
        <v>230702100105</v>
      </c>
      <c r="E42" s="18">
        <v>60.935</v>
      </c>
      <c r="F42" s="19" t="s">
        <v>10</v>
      </c>
      <c r="G42" s="19" t="s">
        <v>10</v>
      </c>
      <c r="H42" s="11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</row>
    <row r="43" spans="1:254" s="2" customFormat="1" ht="24.75" customHeight="1">
      <c r="A43" s="11">
        <v>41</v>
      </c>
      <c r="B43" s="12" t="str">
        <f>"符昌辉"</f>
        <v>符昌辉</v>
      </c>
      <c r="C43" s="13" t="s">
        <v>9</v>
      </c>
      <c r="D43" s="13" t="str">
        <f>"230702100329"</f>
        <v>230702100329</v>
      </c>
      <c r="E43" s="18">
        <v>60.835</v>
      </c>
      <c r="F43" s="19" t="s">
        <v>10</v>
      </c>
      <c r="G43" s="19" t="s">
        <v>10</v>
      </c>
      <c r="H43" s="11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</row>
    <row r="44" spans="1:254" s="2" customFormat="1" ht="24.75" customHeight="1">
      <c r="A44" s="11">
        <v>42</v>
      </c>
      <c r="B44" s="12" t="str">
        <f>"李必晓"</f>
        <v>李必晓</v>
      </c>
      <c r="C44" s="13" t="s">
        <v>9</v>
      </c>
      <c r="D44" s="13" t="str">
        <f>"230702100309"</f>
        <v>230702100309</v>
      </c>
      <c r="E44" s="18">
        <v>60.3</v>
      </c>
      <c r="F44" s="19" t="s">
        <v>10</v>
      </c>
      <c r="G44" s="19" t="s">
        <v>10</v>
      </c>
      <c r="H44" s="11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</row>
    <row r="45" spans="1:254" s="2" customFormat="1" ht="24.75" customHeight="1">
      <c r="A45" s="11">
        <v>43</v>
      </c>
      <c r="B45" s="12" t="str">
        <f>"陈崇凯"</f>
        <v>陈崇凯</v>
      </c>
      <c r="C45" s="13" t="s">
        <v>9</v>
      </c>
      <c r="D45" s="13" t="str">
        <f>"230702100106"</f>
        <v>230702100106</v>
      </c>
      <c r="E45" s="18">
        <v>59.76</v>
      </c>
      <c r="F45" s="19" t="s">
        <v>10</v>
      </c>
      <c r="G45" s="19" t="s">
        <v>10</v>
      </c>
      <c r="H45" s="11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</row>
    <row r="46" spans="1:254" s="2" customFormat="1" ht="24.75" customHeight="1">
      <c r="A46" s="11">
        <v>44</v>
      </c>
      <c r="B46" s="12" t="str">
        <f>"陈冲"</f>
        <v>陈冲</v>
      </c>
      <c r="C46" s="13" t="s">
        <v>9</v>
      </c>
      <c r="D46" s="14" t="str">
        <f>"230702100422"</f>
        <v>230702100422</v>
      </c>
      <c r="E46" s="18">
        <v>59.365</v>
      </c>
      <c r="F46" s="19" t="s">
        <v>10</v>
      </c>
      <c r="G46" s="19" t="s">
        <v>10</v>
      </c>
      <c r="H46" s="11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</row>
    <row r="47" spans="1:254" s="2" customFormat="1" ht="24.75" customHeight="1">
      <c r="A47" s="11">
        <v>45</v>
      </c>
      <c r="B47" s="12" t="str">
        <f>"梁献甲"</f>
        <v>梁献甲</v>
      </c>
      <c r="C47" s="13" t="s">
        <v>9</v>
      </c>
      <c r="D47" s="13" t="str">
        <f>"230702100503"</f>
        <v>230702100503</v>
      </c>
      <c r="E47" s="18">
        <v>58.965</v>
      </c>
      <c r="F47" s="19" t="s">
        <v>10</v>
      </c>
      <c r="G47" s="19" t="s">
        <v>10</v>
      </c>
      <c r="H47" s="11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</row>
    <row r="48" spans="1:254" s="2" customFormat="1" ht="24.75" customHeight="1">
      <c r="A48" s="11">
        <v>46</v>
      </c>
      <c r="B48" s="12" t="str">
        <f>"张泰颜"</f>
        <v>张泰颜</v>
      </c>
      <c r="C48" s="13" t="s">
        <v>9</v>
      </c>
      <c r="D48" s="13" t="str">
        <f>"230702100626"</f>
        <v>230702100626</v>
      </c>
      <c r="E48" s="18">
        <v>58.765</v>
      </c>
      <c r="F48" s="19" t="s">
        <v>10</v>
      </c>
      <c r="G48" s="19" t="s">
        <v>10</v>
      </c>
      <c r="H48" s="11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</row>
    <row r="49" spans="1:254" s="2" customFormat="1" ht="24.75" customHeight="1">
      <c r="A49" s="11">
        <v>47</v>
      </c>
      <c r="B49" s="12" t="str">
        <f>"沈禾"</f>
        <v>沈禾</v>
      </c>
      <c r="C49" s="13" t="s">
        <v>9</v>
      </c>
      <c r="D49" s="13" t="str">
        <f>"230702100324"</f>
        <v>230702100324</v>
      </c>
      <c r="E49" s="18">
        <v>58.15</v>
      </c>
      <c r="F49" s="19" t="s">
        <v>10</v>
      </c>
      <c r="G49" s="19" t="s">
        <v>10</v>
      </c>
      <c r="H49" s="11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</row>
    <row r="50" spans="1:254" s="2" customFormat="1" ht="24.75" customHeight="1">
      <c r="A50" s="11">
        <v>48</v>
      </c>
      <c r="B50" s="12" t="str">
        <f>"陈焕森"</f>
        <v>陈焕森</v>
      </c>
      <c r="C50" s="13" t="s">
        <v>9</v>
      </c>
      <c r="D50" s="13" t="str">
        <f>"230702100525"</f>
        <v>230702100525</v>
      </c>
      <c r="E50" s="18">
        <v>58.065</v>
      </c>
      <c r="F50" s="19" t="s">
        <v>10</v>
      </c>
      <c r="G50" s="19" t="s">
        <v>10</v>
      </c>
      <c r="H50" s="11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</row>
    <row r="51" spans="1:254" s="2" customFormat="1" ht="24.75" customHeight="1">
      <c r="A51" s="11">
        <v>49</v>
      </c>
      <c r="B51" s="12" t="str">
        <f>"王宾"</f>
        <v>王宾</v>
      </c>
      <c r="C51" s="13" t="s">
        <v>9</v>
      </c>
      <c r="D51" s="13" t="str">
        <f>"230702100224"</f>
        <v>230702100224</v>
      </c>
      <c r="E51" s="18">
        <v>58.015</v>
      </c>
      <c r="F51" s="19" t="s">
        <v>10</v>
      </c>
      <c r="G51" s="19" t="s">
        <v>10</v>
      </c>
      <c r="H51" s="11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</row>
    <row r="52" spans="1:254" s="2" customFormat="1" ht="24.75" customHeight="1">
      <c r="A52" s="11">
        <v>50</v>
      </c>
      <c r="B52" s="12" t="str">
        <f>"周小刚"</f>
        <v>周小刚</v>
      </c>
      <c r="C52" s="13" t="s">
        <v>9</v>
      </c>
      <c r="D52" s="13" t="str">
        <f>"230702100209"</f>
        <v>230702100209</v>
      </c>
      <c r="E52" s="18">
        <v>57.815</v>
      </c>
      <c r="F52" s="19" t="s">
        <v>10</v>
      </c>
      <c r="G52" s="19" t="s">
        <v>10</v>
      </c>
      <c r="H52" s="11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</row>
    <row r="53" spans="1:254" s="2" customFormat="1" ht="24.75" customHeight="1">
      <c r="A53" s="11">
        <v>51</v>
      </c>
      <c r="B53" s="12" t="str">
        <f>"许天再"</f>
        <v>许天再</v>
      </c>
      <c r="C53" s="13" t="s">
        <v>9</v>
      </c>
      <c r="D53" s="13" t="str">
        <f>"230702100620"</f>
        <v>230702100620</v>
      </c>
      <c r="E53" s="18">
        <v>57.615</v>
      </c>
      <c r="F53" s="19" t="s">
        <v>10</v>
      </c>
      <c r="G53" s="19" t="s">
        <v>10</v>
      </c>
      <c r="H53" s="11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</row>
    <row r="54" spans="1:254" s="2" customFormat="1" ht="24.75" customHeight="1">
      <c r="A54" s="11">
        <v>52</v>
      </c>
      <c r="B54" s="12" t="str">
        <f>"黎传国"</f>
        <v>黎传国</v>
      </c>
      <c r="C54" s="13" t="s">
        <v>9</v>
      </c>
      <c r="D54" s="13" t="str">
        <f>"230702100401"</f>
        <v>230702100401</v>
      </c>
      <c r="E54" s="18">
        <v>57.315</v>
      </c>
      <c r="F54" s="19" t="s">
        <v>10</v>
      </c>
      <c r="G54" s="19" t="s">
        <v>10</v>
      </c>
      <c r="H54" s="11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</row>
    <row r="55" spans="1:254" s="2" customFormat="1" ht="24.75" customHeight="1">
      <c r="A55" s="11">
        <v>53</v>
      </c>
      <c r="B55" s="12" t="str">
        <f>"吴济聪"</f>
        <v>吴济聪</v>
      </c>
      <c r="C55" s="13" t="s">
        <v>9</v>
      </c>
      <c r="D55" s="13" t="str">
        <f>"230702100703"</f>
        <v>230702100703</v>
      </c>
      <c r="E55" s="18">
        <v>57.035</v>
      </c>
      <c r="F55" s="19" t="s">
        <v>10</v>
      </c>
      <c r="G55" s="19" t="s">
        <v>10</v>
      </c>
      <c r="H55" s="11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</row>
    <row r="56" spans="1:254" s="2" customFormat="1" ht="24.75" customHeight="1">
      <c r="A56" s="11">
        <v>54</v>
      </c>
      <c r="B56" s="12" t="str">
        <f>"蔡弥祥"</f>
        <v>蔡弥祥</v>
      </c>
      <c r="C56" s="13" t="s">
        <v>9</v>
      </c>
      <c r="D56" s="13" t="str">
        <f>"230702100110"</f>
        <v>230702100110</v>
      </c>
      <c r="E56" s="18">
        <v>56.935</v>
      </c>
      <c r="F56" s="19" t="s">
        <v>10</v>
      </c>
      <c r="G56" s="19" t="s">
        <v>10</v>
      </c>
      <c r="H56" s="11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</row>
    <row r="57" spans="1:254" s="2" customFormat="1" ht="24.75" customHeight="1">
      <c r="A57" s="11">
        <v>55</v>
      </c>
      <c r="B57" s="12" t="str">
        <f>"陈事勋"</f>
        <v>陈事勋</v>
      </c>
      <c r="C57" s="13" t="s">
        <v>9</v>
      </c>
      <c r="D57" s="13" t="str">
        <f>"230702100705"</f>
        <v>230702100705</v>
      </c>
      <c r="E57" s="18">
        <v>56.535</v>
      </c>
      <c r="F57" s="19" t="s">
        <v>10</v>
      </c>
      <c r="G57" s="19" t="s">
        <v>10</v>
      </c>
      <c r="H57" s="11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</row>
    <row r="58" spans="1:254" s="2" customFormat="1" ht="24.75" customHeight="1">
      <c r="A58" s="11">
        <v>56</v>
      </c>
      <c r="B58" s="12" t="str">
        <f>"牛浩康"</f>
        <v>牛浩康</v>
      </c>
      <c r="C58" s="13" t="s">
        <v>9</v>
      </c>
      <c r="D58" s="13" t="str">
        <f>"230702100101"</f>
        <v>230702100101</v>
      </c>
      <c r="E58" s="18">
        <v>56.1</v>
      </c>
      <c r="F58" s="19" t="s">
        <v>10</v>
      </c>
      <c r="G58" s="19" t="s">
        <v>10</v>
      </c>
      <c r="H58" s="11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</row>
    <row r="59" spans="1:254" s="2" customFormat="1" ht="24.75" customHeight="1">
      <c r="A59" s="11">
        <v>57</v>
      </c>
      <c r="B59" s="12" t="str">
        <f>"王健松"</f>
        <v>王健松</v>
      </c>
      <c r="C59" s="13" t="s">
        <v>9</v>
      </c>
      <c r="D59" s="13" t="str">
        <f>"230702100410"</f>
        <v>230702100410</v>
      </c>
      <c r="E59" s="18">
        <v>55.935</v>
      </c>
      <c r="F59" s="19" t="s">
        <v>10</v>
      </c>
      <c r="G59" s="19" t="s">
        <v>10</v>
      </c>
      <c r="H59" s="11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</row>
    <row r="60" spans="1:254" s="2" customFormat="1" ht="24.75" customHeight="1">
      <c r="A60" s="11">
        <v>58</v>
      </c>
      <c r="B60" s="12" t="str">
        <f>"罗家勤"</f>
        <v>罗家勤</v>
      </c>
      <c r="C60" s="13" t="s">
        <v>9</v>
      </c>
      <c r="D60" s="13" t="str">
        <f>"230702100228"</f>
        <v>230702100228</v>
      </c>
      <c r="E60" s="18">
        <v>55.885</v>
      </c>
      <c r="F60" s="19" t="s">
        <v>10</v>
      </c>
      <c r="G60" s="19" t="s">
        <v>10</v>
      </c>
      <c r="H60" s="11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</row>
    <row r="61" spans="1:254" s="2" customFormat="1" ht="24.75" customHeight="1">
      <c r="A61" s="11">
        <v>59</v>
      </c>
      <c r="B61" s="12" t="str">
        <f>"万锐"</f>
        <v>万锐</v>
      </c>
      <c r="C61" s="13" t="s">
        <v>9</v>
      </c>
      <c r="D61" s="13" t="str">
        <f>"230702100120"</f>
        <v>230702100120</v>
      </c>
      <c r="E61" s="18">
        <v>55.385</v>
      </c>
      <c r="F61" s="19" t="s">
        <v>10</v>
      </c>
      <c r="G61" s="19" t="s">
        <v>10</v>
      </c>
      <c r="H61" s="11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</row>
    <row r="62" spans="1:254" s="2" customFormat="1" ht="24.75" customHeight="1">
      <c r="A62" s="11">
        <v>60</v>
      </c>
      <c r="B62" s="12" t="str">
        <f>"曾其兴"</f>
        <v>曾其兴</v>
      </c>
      <c r="C62" s="13" t="s">
        <v>9</v>
      </c>
      <c r="D62" s="13" t="str">
        <f>"230702100112"</f>
        <v>230702100112</v>
      </c>
      <c r="E62" s="18">
        <v>55.15</v>
      </c>
      <c r="F62" s="19" t="s">
        <v>10</v>
      </c>
      <c r="G62" s="19" t="s">
        <v>10</v>
      </c>
      <c r="H62" s="11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</row>
    <row r="63" spans="1:254" s="2" customFormat="1" ht="24.75" customHeight="1">
      <c r="A63" s="11">
        <v>61</v>
      </c>
      <c r="B63" s="12" t="str">
        <f>"罗梯"</f>
        <v>罗梯</v>
      </c>
      <c r="C63" s="13" t="s">
        <v>9</v>
      </c>
      <c r="D63" s="13" t="str">
        <f>"230702100316"</f>
        <v>230702100316</v>
      </c>
      <c r="E63" s="18">
        <v>54.685</v>
      </c>
      <c r="F63" s="19" t="s">
        <v>10</v>
      </c>
      <c r="G63" s="19" t="s">
        <v>10</v>
      </c>
      <c r="H63" s="11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</row>
    <row r="64" spans="1:254" s="2" customFormat="1" ht="24.75" customHeight="1">
      <c r="A64" s="11">
        <v>62</v>
      </c>
      <c r="B64" s="12" t="str">
        <f>"熊婉婷"</f>
        <v>熊婉婷</v>
      </c>
      <c r="C64" s="13" t="s">
        <v>11</v>
      </c>
      <c r="D64" s="13" t="str">
        <f>"230702100712"</f>
        <v>230702100712</v>
      </c>
      <c r="E64" s="18">
        <v>63.985</v>
      </c>
      <c r="F64" s="19" t="s">
        <v>10</v>
      </c>
      <c r="G64" s="19" t="s">
        <v>10</v>
      </c>
      <c r="H64" s="11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</row>
    <row r="65" spans="1:254" s="2" customFormat="1" ht="24.75" customHeight="1">
      <c r="A65" s="11">
        <v>63</v>
      </c>
      <c r="B65" s="12" t="str">
        <f>"李敏"</f>
        <v>李敏</v>
      </c>
      <c r="C65" s="13" t="s">
        <v>11</v>
      </c>
      <c r="D65" s="13" t="str">
        <f>"230702100714"</f>
        <v>230702100714</v>
      </c>
      <c r="E65" s="18">
        <v>62.935</v>
      </c>
      <c r="F65" s="19" t="s">
        <v>10</v>
      </c>
      <c r="G65" s="19" t="s">
        <v>10</v>
      </c>
      <c r="H65" s="11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</row>
    <row r="66" spans="1:254" s="2" customFormat="1" ht="24.75" customHeight="1">
      <c r="A66" s="11">
        <v>64</v>
      </c>
      <c r="B66" s="12" t="str">
        <f>"王小丽"</f>
        <v>王小丽</v>
      </c>
      <c r="C66" s="13" t="s">
        <v>11</v>
      </c>
      <c r="D66" s="13" t="str">
        <f>"230702100720"</f>
        <v>230702100720</v>
      </c>
      <c r="E66" s="18">
        <v>59.465</v>
      </c>
      <c r="F66" s="19" t="s">
        <v>10</v>
      </c>
      <c r="G66" s="19" t="s">
        <v>10</v>
      </c>
      <c r="H66" s="11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</row>
    <row r="67" spans="1:254" s="2" customFormat="1" ht="24.75" customHeight="1">
      <c r="A67" s="11">
        <v>65</v>
      </c>
      <c r="B67" s="12" t="str">
        <f>"伍元树"</f>
        <v>伍元树</v>
      </c>
      <c r="C67" s="13" t="s">
        <v>12</v>
      </c>
      <c r="D67" s="13" t="str">
        <f>"230702101329"</f>
        <v>230702101329</v>
      </c>
      <c r="E67" s="18">
        <v>77.485</v>
      </c>
      <c r="F67" s="19" t="s">
        <v>10</v>
      </c>
      <c r="G67" s="19" t="s">
        <v>10</v>
      </c>
      <c r="H67" s="11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</row>
    <row r="68" spans="1:254" s="2" customFormat="1" ht="24.75" customHeight="1">
      <c r="A68" s="11">
        <v>66</v>
      </c>
      <c r="B68" s="12" t="str">
        <f>"李云龙"</f>
        <v>李云龙</v>
      </c>
      <c r="C68" s="13" t="s">
        <v>12</v>
      </c>
      <c r="D68" s="13" t="str">
        <f>"230702100823"</f>
        <v>230702100823</v>
      </c>
      <c r="E68" s="18">
        <v>76.265</v>
      </c>
      <c r="F68" s="19" t="s">
        <v>10</v>
      </c>
      <c r="G68" s="19" t="s">
        <v>10</v>
      </c>
      <c r="H68" s="11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</row>
    <row r="69" spans="1:254" s="2" customFormat="1" ht="24.75" customHeight="1">
      <c r="A69" s="11">
        <v>67</v>
      </c>
      <c r="B69" s="12" t="str">
        <f>"黄新建"</f>
        <v>黄新建</v>
      </c>
      <c r="C69" s="13" t="s">
        <v>12</v>
      </c>
      <c r="D69" s="13" t="str">
        <f>"230702102130"</f>
        <v>230702102130</v>
      </c>
      <c r="E69" s="18">
        <v>75.9</v>
      </c>
      <c r="F69" s="19" t="s">
        <v>10</v>
      </c>
      <c r="G69" s="19" t="s">
        <v>10</v>
      </c>
      <c r="H69" s="11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</row>
    <row r="70" spans="1:254" s="2" customFormat="1" ht="24.75" customHeight="1">
      <c r="A70" s="11">
        <v>68</v>
      </c>
      <c r="B70" s="12" t="str">
        <f>"林绍龙"</f>
        <v>林绍龙</v>
      </c>
      <c r="C70" s="13" t="s">
        <v>12</v>
      </c>
      <c r="D70" s="13" t="str">
        <f>"230702102225"</f>
        <v>230702102225</v>
      </c>
      <c r="E70" s="18">
        <v>74.265</v>
      </c>
      <c r="F70" s="19" t="s">
        <v>10</v>
      </c>
      <c r="G70" s="19" t="s">
        <v>10</v>
      </c>
      <c r="H70" s="11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</row>
    <row r="71" spans="1:254" s="2" customFormat="1" ht="24.75" customHeight="1">
      <c r="A71" s="11">
        <v>69</v>
      </c>
      <c r="B71" s="12" t="str">
        <f>"王晓箭"</f>
        <v>王晓箭</v>
      </c>
      <c r="C71" s="13" t="s">
        <v>12</v>
      </c>
      <c r="D71" s="13" t="str">
        <f>"230702100727"</f>
        <v>230702100727</v>
      </c>
      <c r="E71" s="18">
        <v>74</v>
      </c>
      <c r="F71" s="19" t="s">
        <v>10</v>
      </c>
      <c r="G71" s="19" t="s">
        <v>10</v>
      </c>
      <c r="H71" s="11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</row>
    <row r="72" spans="1:254" s="2" customFormat="1" ht="24.75" customHeight="1">
      <c r="A72" s="11">
        <v>70</v>
      </c>
      <c r="B72" s="12" t="str">
        <f>"陈益斌"</f>
        <v>陈益斌</v>
      </c>
      <c r="C72" s="13" t="s">
        <v>12</v>
      </c>
      <c r="D72" s="13" t="str">
        <f>"230702102230"</f>
        <v>230702102230</v>
      </c>
      <c r="E72" s="18">
        <v>73.85</v>
      </c>
      <c r="F72" s="19" t="s">
        <v>10</v>
      </c>
      <c r="G72" s="19" t="s">
        <v>10</v>
      </c>
      <c r="H72" s="11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</row>
    <row r="73" spans="1:254" s="2" customFormat="1" ht="24.75" customHeight="1">
      <c r="A73" s="11">
        <v>71</v>
      </c>
      <c r="B73" s="12" t="str">
        <f>"王训帅"</f>
        <v>王训帅</v>
      </c>
      <c r="C73" s="13" t="s">
        <v>12</v>
      </c>
      <c r="D73" s="13" t="str">
        <f>"230702102607"</f>
        <v>230702102607</v>
      </c>
      <c r="E73" s="18">
        <v>73.5</v>
      </c>
      <c r="F73" s="19" t="s">
        <v>10</v>
      </c>
      <c r="G73" s="19" t="s">
        <v>10</v>
      </c>
      <c r="H73" s="11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</row>
    <row r="74" spans="1:254" s="2" customFormat="1" ht="24.75" customHeight="1">
      <c r="A74" s="11">
        <v>72</v>
      </c>
      <c r="B74" s="12" t="str">
        <f>"罗镓金"</f>
        <v>罗镓金</v>
      </c>
      <c r="C74" s="13" t="s">
        <v>12</v>
      </c>
      <c r="D74" s="13" t="str">
        <f>"230702100801"</f>
        <v>230702100801</v>
      </c>
      <c r="E74" s="18">
        <v>72.185</v>
      </c>
      <c r="F74" s="19" t="s">
        <v>10</v>
      </c>
      <c r="G74" s="19" t="s">
        <v>10</v>
      </c>
      <c r="H74" s="11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</row>
    <row r="75" spans="1:254" s="2" customFormat="1" ht="24.75" customHeight="1">
      <c r="A75" s="11">
        <v>73</v>
      </c>
      <c r="B75" s="12" t="str">
        <f>"王饶锦"</f>
        <v>王饶锦</v>
      </c>
      <c r="C75" s="13" t="s">
        <v>12</v>
      </c>
      <c r="D75" s="13" t="str">
        <f>"230702101312"</f>
        <v>230702101312</v>
      </c>
      <c r="E75" s="18">
        <v>71.66499999999999</v>
      </c>
      <c r="F75" s="19" t="s">
        <v>10</v>
      </c>
      <c r="G75" s="19" t="s">
        <v>10</v>
      </c>
      <c r="H75" s="11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</row>
    <row r="76" spans="1:254" s="2" customFormat="1" ht="24.75" customHeight="1">
      <c r="A76" s="11">
        <v>74</v>
      </c>
      <c r="B76" s="12" t="str">
        <f>"王文弘"</f>
        <v>王文弘</v>
      </c>
      <c r="C76" s="13" t="s">
        <v>12</v>
      </c>
      <c r="D76" s="13" t="str">
        <f>"230702102101"</f>
        <v>230702102101</v>
      </c>
      <c r="E76" s="18">
        <v>71.55</v>
      </c>
      <c r="F76" s="19" t="s">
        <v>10</v>
      </c>
      <c r="G76" s="19" t="s">
        <v>10</v>
      </c>
      <c r="H76" s="11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</row>
    <row r="77" spans="1:254" s="2" customFormat="1" ht="24.75" customHeight="1">
      <c r="A77" s="11">
        <v>75</v>
      </c>
      <c r="B77" s="12" t="str">
        <f>"潘孝东"</f>
        <v>潘孝东</v>
      </c>
      <c r="C77" s="13" t="s">
        <v>12</v>
      </c>
      <c r="D77" s="13" t="str">
        <f>"230702103226"</f>
        <v>230702103226</v>
      </c>
      <c r="E77" s="18">
        <v>71.015</v>
      </c>
      <c r="F77" s="19" t="s">
        <v>10</v>
      </c>
      <c r="G77" s="19" t="s">
        <v>10</v>
      </c>
      <c r="H77" s="11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</row>
    <row r="78" spans="1:254" s="2" customFormat="1" ht="24.75" customHeight="1">
      <c r="A78" s="11">
        <v>76</v>
      </c>
      <c r="B78" s="12" t="str">
        <f>"梁力瑜"</f>
        <v>梁力瑜</v>
      </c>
      <c r="C78" s="13" t="s">
        <v>12</v>
      </c>
      <c r="D78" s="13" t="str">
        <f>"230702100916"</f>
        <v>230702100916</v>
      </c>
      <c r="E78" s="18">
        <v>71</v>
      </c>
      <c r="F78" s="19" t="s">
        <v>10</v>
      </c>
      <c r="G78" s="19" t="s">
        <v>10</v>
      </c>
      <c r="H78" s="11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</row>
    <row r="79" spans="1:254" s="2" customFormat="1" ht="24.75" customHeight="1">
      <c r="A79" s="11">
        <v>77</v>
      </c>
      <c r="B79" s="12" t="str">
        <f>"王福亮"</f>
        <v>王福亮</v>
      </c>
      <c r="C79" s="13" t="s">
        <v>12</v>
      </c>
      <c r="D79" s="13" t="str">
        <f>"230702101506"</f>
        <v>230702101506</v>
      </c>
      <c r="E79" s="18">
        <v>71</v>
      </c>
      <c r="F79" s="19" t="s">
        <v>10</v>
      </c>
      <c r="G79" s="19" t="s">
        <v>10</v>
      </c>
      <c r="H79" s="11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</row>
    <row r="80" spans="1:254" s="2" customFormat="1" ht="24.75" customHeight="1">
      <c r="A80" s="11">
        <v>78</v>
      </c>
      <c r="B80" s="12" t="str">
        <f>"李深威"</f>
        <v>李深威</v>
      </c>
      <c r="C80" s="13" t="s">
        <v>12</v>
      </c>
      <c r="D80" s="13" t="str">
        <f>"230702101115"</f>
        <v>230702101115</v>
      </c>
      <c r="E80" s="18">
        <v>70.83500000000001</v>
      </c>
      <c r="F80" s="19" t="s">
        <v>10</v>
      </c>
      <c r="G80" s="19" t="s">
        <v>10</v>
      </c>
      <c r="H80" s="11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</row>
    <row r="81" spans="1:254" s="2" customFormat="1" ht="24.75" customHeight="1">
      <c r="A81" s="11">
        <v>79</v>
      </c>
      <c r="B81" s="12" t="str">
        <f>"吴坤禧"</f>
        <v>吴坤禧</v>
      </c>
      <c r="C81" s="13" t="s">
        <v>12</v>
      </c>
      <c r="D81" s="13" t="str">
        <f>"230702100810"</f>
        <v>230702100810</v>
      </c>
      <c r="E81" s="18">
        <v>70.45</v>
      </c>
      <c r="F81" s="19" t="s">
        <v>10</v>
      </c>
      <c r="G81" s="19" t="s">
        <v>10</v>
      </c>
      <c r="H81" s="11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</row>
    <row r="82" spans="1:254" s="2" customFormat="1" ht="24.75" customHeight="1">
      <c r="A82" s="11">
        <v>80</v>
      </c>
      <c r="B82" s="12" t="str">
        <f>"万鹏程"</f>
        <v>万鹏程</v>
      </c>
      <c r="C82" s="13" t="s">
        <v>12</v>
      </c>
      <c r="D82" s="13" t="str">
        <f>"230702101523"</f>
        <v>230702101523</v>
      </c>
      <c r="E82" s="18">
        <v>70.33500000000001</v>
      </c>
      <c r="F82" s="19" t="s">
        <v>10</v>
      </c>
      <c r="G82" s="19" t="s">
        <v>10</v>
      </c>
      <c r="H82" s="11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</row>
    <row r="83" spans="1:254" s="2" customFormat="1" ht="24.75" customHeight="1">
      <c r="A83" s="11">
        <v>81</v>
      </c>
      <c r="B83" s="12" t="str">
        <f>"梁嘉丰"</f>
        <v>梁嘉丰</v>
      </c>
      <c r="C83" s="13" t="s">
        <v>12</v>
      </c>
      <c r="D83" s="13" t="str">
        <f>"230702101507"</f>
        <v>230702101507</v>
      </c>
      <c r="E83" s="18">
        <v>70.3</v>
      </c>
      <c r="F83" s="19" t="s">
        <v>10</v>
      </c>
      <c r="G83" s="19" t="s">
        <v>10</v>
      </c>
      <c r="H83" s="11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</row>
    <row r="84" spans="1:254" s="2" customFormat="1" ht="24.75" customHeight="1">
      <c r="A84" s="11">
        <v>82</v>
      </c>
      <c r="B84" s="12" t="str">
        <f>"吴坚"</f>
        <v>吴坚</v>
      </c>
      <c r="C84" s="13" t="s">
        <v>12</v>
      </c>
      <c r="D84" s="13" t="str">
        <f>"230702101927"</f>
        <v>230702101927</v>
      </c>
      <c r="E84" s="18">
        <v>70.1</v>
      </c>
      <c r="F84" s="19" t="s">
        <v>10</v>
      </c>
      <c r="G84" s="19" t="s">
        <v>10</v>
      </c>
      <c r="H84" s="11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</row>
    <row r="85" spans="1:254" s="2" customFormat="1" ht="24.75" customHeight="1">
      <c r="A85" s="11">
        <v>83</v>
      </c>
      <c r="B85" s="12" t="str">
        <f>"李德威"</f>
        <v>李德威</v>
      </c>
      <c r="C85" s="13" t="s">
        <v>12</v>
      </c>
      <c r="D85" s="13" t="str">
        <f>"230702101804"</f>
        <v>230702101804</v>
      </c>
      <c r="E85" s="18">
        <v>70.08500000000001</v>
      </c>
      <c r="F85" s="19" t="s">
        <v>10</v>
      </c>
      <c r="G85" s="19" t="s">
        <v>10</v>
      </c>
      <c r="H85" s="11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</row>
    <row r="86" spans="1:254" s="2" customFormat="1" ht="24.75" customHeight="1">
      <c r="A86" s="11">
        <v>84</v>
      </c>
      <c r="B86" s="12" t="str">
        <f>"杨生贝"</f>
        <v>杨生贝</v>
      </c>
      <c r="C86" s="13" t="s">
        <v>12</v>
      </c>
      <c r="D86" s="13" t="str">
        <f>"230702102324"</f>
        <v>230702102324</v>
      </c>
      <c r="E86" s="18">
        <v>70.05</v>
      </c>
      <c r="F86" s="19" t="s">
        <v>10</v>
      </c>
      <c r="G86" s="19" t="s">
        <v>10</v>
      </c>
      <c r="H86" s="11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</row>
    <row r="87" spans="1:254" s="2" customFormat="1" ht="24.75" customHeight="1">
      <c r="A87" s="11">
        <v>85</v>
      </c>
      <c r="B87" s="12" t="str">
        <f>"王强"</f>
        <v>王强</v>
      </c>
      <c r="C87" s="13" t="s">
        <v>12</v>
      </c>
      <c r="D87" s="13" t="str">
        <f>"230702101630"</f>
        <v>230702101630</v>
      </c>
      <c r="E87" s="18">
        <v>69.65</v>
      </c>
      <c r="F87" s="19" t="s">
        <v>10</v>
      </c>
      <c r="G87" s="19" t="s">
        <v>10</v>
      </c>
      <c r="H87" s="11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</row>
    <row r="88" spans="1:254" s="2" customFormat="1" ht="24.75" customHeight="1">
      <c r="A88" s="11">
        <v>86</v>
      </c>
      <c r="B88" s="12" t="str">
        <f>"王广涛"</f>
        <v>王广涛</v>
      </c>
      <c r="C88" s="13" t="s">
        <v>12</v>
      </c>
      <c r="D88" s="13" t="str">
        <f>"230702102126"</f>
        <v>230702102126</v>
      </c>
      <c r="E88" s="18">
        <v>69.65</v>
      </c>
      <c r="F88" s="19" t="s">
        <v>10</v>
      </c>
      <c r="G88" s="19" t="s">
        <v>10</v>
      </c>
      <c r="H88" s="11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</row>
    <row r="89" spans="1:254" s="2" customFormat="1" ht="24.75" customHeight="1">
      <c r="A89" s="11">
        <v>87</v>
      </c>
      <c r="B89" s="12" t="str">
        <f>"郑友威"</f>
        <v>郑友威</v>
      </c>
      <c r="C89" s="13" t="s">
        <v>12</v>
      </c>
      <c r="D89" s="13" t="str">
        <f>"230702101116"</f>
        <v>230702101116</v>
      </c>
      <c r="E89" s="18">
        <v>69.41499999999999</v>
      </c>
      <c r="F89" s="19" t="s">
        <v>10</v>
      </c>
      <c r="G89" s="19" t="s">
        <v>10</v>
      </c>
      <c r="H89" s="11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</row>
    <row r="90" spans="1:254" s="2" customFormat="1" ht="24.75" customHeight="1">
      <c r="A90" s="11">
        <v>88</v>
      </c>
      <c r="B90" s="12" t="str">
        <f>"冯涵"</f>
        <v>冯涵</v>
      </c>
      <c r="C90" s="13" t="s">
        <v>12</v>
      </c>
      <c r="D90" s="13" t="str">
        <f>"230702101206"</f>
        <v>230702101206</v>
      </c>
      <c r="E90" s="18">
        <v>69.215</v>
      </c>
      <c r="F90" s="19" t="s">
        <v>10</v>
      </c>
      <c r="G90" s="19" t="s">
        <v>10</v>
      </c>
      <c r="H90" s="11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</row>
    <row r="91" spans="1:254" s="2" customFormat="1" ht="24.75" customHeight="1">
      <c r="A91" s="11">
        <v>89</v>
      </c>
      <c r="B91" s="12" t="str">
        <f>"李向城"</f>
        <v>李向城</v>
      </c>
      <c r="C91" s="13" t="s">
        <v>12</v>
      </c>
      <c r="D91" s="13" t="str">
        <f>"230702102529"</f>
        <v>230702102529</v>
      </c>
      <c r="E91" s="18">
        <v>69.08500000000001</v>
      </c>
      <c r="F91" s="19" t="s">
        <v>10</v>
      </c>
      <c r="G91" s="19" t="s">
        <v>10</v>
      </c>
      <c r="H91" s="11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</row>
    <row r="92" spans="1:254" s="2" customFormat="1" ht="24.75" customHeight="1">
      <c r="A92" s="11">
        <v>90</v>
      </c>
      <c r="B92" s="12" t="str">
        <f>"李自通"</f>
        <v>李自通</v>
      </c>
      <c r="C92" s="13" t="s">
        <v>12</v>
      </c>
      <c r="D92" s="13" t="str">
        <f>"230702101524"</f>
        <v>230702101524</v>
      </c>
      <c r="E92" s="18">
        <v>69.035</v>
      </c>
      <c r="F92" s="19" t="s">
        <v>10</v>
      </c>
      <c r="G92" s="19" t="s">
        <v>10</v>
      </c>
      <c r="H92" s="11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</row>
    <row r="93" spans="1:254" s="2" customFormat="1" ht="24.75" customHeight="1">
      <c r="A93" s="11">
        <v>91</v>
      </c>
      <c r="B93" s="12" t="str">
        <f>"黄博东"</f>
        <v>黄博东</v>
      </c>
      <c r="C93" s="13" t="s">
        <v>12</v>
      </c>
      <c r="D93" s="13" t="str">
        <f>"230702100929"</f>
        <v>230702100929</v>
      </c>
      <c r="E93" s="18">
        <v>68.95</v>
      </c>
      <c r="F93" s="19" t="s">
        <v>10</v>
      </c>
      <c r="G93" s="19" t="s">
        <v>10</v>
      </c>
      <c r="H93" s="11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</row>
    <row r="94" spans="1:254" s="2" customFormat="1" ht="24.75" customHeight="1">
      <c r="A94" s="11">
        <v>92</v>
      </c>
      <c r="B94" s="12" t="str">
        <f>"赵居文"</f>
        <v>赵居文</v>
      </c>
      <c r="C94" s="13" t="s">
        <v>12</v>
      </c>
      <c r="D94" s="13" t="str">
        <f>"230702102527"</f>
        <v>230702102527</v>
      </c>
      <c r="E94" s="18">
        <v>68.83500000000001</v>
      </c>
      <c r="F94" s="19" t="s">
        <v>10</v>
      </c>
      <c r="G94" s="19" t="s">
        <v>10</v>
      </c>
      <c r="H94" s="11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</row>
    <row r="95" spans="1:254" s="2" customFormat="1" ht="24.75" customHeight="1">
      <c r="A95" s="11">
        <v>93</v>
      </c>
      <c r="B95" s="12" t="str">
        <f>"刘庆浩"</f>
        <v>刘庆浩</v>
      </c>
      <c r="C95" s="13" t="s">
        <v>12</v>
      </c>
      <c r="D95" s="13" t="str">
        <f>"230702101619"</f>
        <v>230702101619</v>
      </c>
      <c r="E95" s="18">
        <v>68.765</v>
      </c>
      <c r="F95" s="19" t="s">
        <v>10</v>
      </c>
      <c r="G95" s="19" t="s">
        <v>10</v>
      </c>
      <c r="H95" s="11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</row>
    <row r="96" spans="1:254" s="2" customFormat="1" ht="24.75" customHeight="1">
      <c r="A96" s="11">
        <v>94</v>
      </c>
      <c r="B96" s="12" t="str">
        <f>"刘烘"</f>
        <v>刘烘</v>
      </c>
      <c r="C96" s="13" t="s">
        <v>12</v>
      </c>
      <c r="D96" s="13" t="str">
        <f>"230702102407"</f>
        <v>230702102407</v>
      </c>
      <c r="E96" s="18">
        <v>68.7</v>
      </c>
      <c r="F96" s="19" t="s">
        <v>10</v>
      </c>
      <c r="G96" s="19" t="s">
        <v>10</v>
      </c>
      <c r="H96" s="11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</row>
    <row r="97" spans="1:254" s="2" customFormat="1" ht="24.75" customHeight="1">
      <c r="A97" s="11">
        <v>95</v>
      </c>
      <c r="B97" s="12" t="str">
        <f>"周廷智"</f>
        <v>周廷智</v>
      </c>
      <c r="C97" s="13" t="s">
        <v>12</v>
      </c>
      <c r="D97" s="13" t="str">
        <f>"230702103002"</f>
        <v>230702103002</v>
      </c>
      <c r="E97" s="18">
        <v>68.65</v>
      </c>
      <c r="F97" s="19" t="s">
        <v>10</v>
      </c>
      <c r="G97" s="19" t="s">
        <v>10</v>
      </c>
      <c r="H97" s="11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</row>
    <row r="98" spans="1:254" s="2" customFormat="1" ht="24.75" customHeight="1">
      <c r="A98" s="11">
        <v>96</v>
      </c>
      <c r="B98" s="12" t="str">
        <f>"陈茂良"</f>
        <v>陈茂良</v>
      </c>
      <c r="C98" s="13" t="s">
        <v>12</v>
      </c>
      <c r="D98" s="13" t="str">
        <f>"230702101816"</f>
        <v>230702101816</v>
      </c>
      <c r="E98" s="18">
        <v>68.25</v>
      </c>
      <c r="F98" s="19" t="s">
        <v>10</v>
      </c>
      <c r="G98" s="19" t="s">
        <v>10</v>
      </c>
      <c r="H98" s="11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</row>
    <row r="99" spans="1:254" s="2" customFormat="1" ht="24.75" customHeight="1">
      <c r="A99" s="11">
        <v>97</v>
      </c>
      <c r="B99" s="12" t="str">
        <f>"符光敏"</f>
        <v>符光敏</v>
      </c>
      <c r="C99" s="13" t="s">
        <v>12</v>
      </c>
      <c r="D99" s="13" t="str">
        <f>"230702103322"</f>
        <v>230702103322</v>
      </c>
      <c r="E99" s="18">
        <v>67.685</v>
      </c>
      <c r="F99" s="19" t="s">
        <v>10</v>
      </c>
      <c r="G99" s="19" t="s">
        <v>10</v>
      </c>
      <c r="H99" s="11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</row>
    <row r="100" spans="1:254" s="2" customFormat="1" ht="24.75" customHeight="1">
      <c r="A100" s="11">
        <v>98</v>
      </c>
      <c r="B100" s="12" t="str">
        <f>"吴至威"</f>
        <v>吴至威</v>
      </c>
      <c r="C100" s="13" t="s">
        <v>12</v>
      </c>
      <c r="D100" s="13" t="str">
        <f>"230702101709"</f>
        <v>230702101709</v>
      </c>
      <c r="E100" s="18">
        <v>67.58500000000001</v>
      </c>
      <c r="F100" s="19" t="s">
        <v>10</v>
      </c>
      <c r="G100" s="19" t="s">
        <v>10</v>
      </c>
      <c r="H100" s="11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  <c r="IS100" s="21"/>
      <c r="IT100" s="21"/>
    </row>
    <row r="101" spans="1:254" s="2" customFormat="1" ht="24.75" customHeight="1">
      <c r="A101" s="11">
        <v>99</v>
      </c>
      <c r="B101" s="12" t="str">
        <f>"王举海"</f>
        <v>王举海</v>
      </c>
      <c r="C101" s="13" t="s">
        <v>12</v>
      </c>
      <c r="D101" s="13" t="str">
        <f>"230702102320"</f>
        <v>230702102320</v>
      </c>
      <c r="E101" s="18">
        <v>67.485</v>
      </c>
      <c r="F101" s="19" t="s">
        <v>10</v>
      </c>
      <c r="G101" s="19" t="s">
        <v>10</v>
      </c>
      <c r="H101" s="11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  <c r="IT101" s="21"/>
    </row>
    <row r="102" spans="1:254" s="2" customFormat="1" ht="24.75" customHeight="1">
      <c r="A102" s="11">
        <v>100</v>
      </c>
      <c r="B102" s="12" t="str">
        <f>"陈多谋"</f>
        <v>陈多谋</v>
      </c>
      <c r="C102" s="13" t="s">
        <v>12</v>
      </c>
      <c r="D102" s="13" t="str">
        <f>"230702103316"</f>
        <v>230702103316</v>
      </c>
      <c r="E102" s="18">
        <v>67.285</v>
      </c>
      <c r="F102" s="19" t="s">
        <v>10</v>
      </c>
      <c r="G102" s="19" t="s">
        <v>10</v>
      </c>
      <c r="H102" s="11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  <c r="IQ102" s="21"/>
      <c r="IR102" s="21"/>
      <c r="IS102" s="21"/>
      <c r="IT102" s="21"/>
    </row>
    <row r="103" spans="1:254" s="2" customFormat="1" ht="24.75" customHeight="1">
      <c r="A103" s="11">
        <v>101</v>
      </c>
      <c r="B103" s="12" t="str">
        <f>"吉星"</f>
        <v>吉星</v>
      </c>
      <c r="C103" s="13" t="s">
        <v>12</v>
      </c>
      <c r="D103" s="13" t="str">
        <f>"230702102308"</f>
        <v>230702102308</v>
      </c>
      <c r="E103" s="18">
        <v>67</v>
      </c>
      <c r="F103" s="19" t="s">
        <v>10</v>
      </c>
      <c r="G103" s="19" t="s">
        <v>10</v>
      </c>
      <c r="H103" s="11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1"/>
      <c r="IQ103" s="21"/>
      <c r="IR103" s="21"/>
      <c r="IS103" s="21"/>
      <c r="IT103" s="21"/>
    </row>
    <row r="104" spans="1:254" s="2" customFormat="1" ht="24.75" customHeight="1">
      <c r="A104" s="11">
        <v>102</v>
      </c>
      <c r="B104" s="12" t="str">
        <f>"黄伟国"</f>
        <v>黄伟国</v>
      </c>
      <c r="C104" s="13" t="s">
        <v>12</v>
      </c>
      <c r="D104" s="13" t="str">
        <f>"230702101801"</f>
        <v>230702101801</v>
      </c>
      <c r="E104" s="18">
        <v>66.86500000000001</v>
      </c>
      <c r="F104" s="19" t="s">
        <v>10</v>
      </c>
      <c r="G104" s="19" t="s">
        <v>10</v>
      </c>
      <c r="H104" s="11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  <c r="IS104" s="21"/>
      <c r="IT104" s="21"/>
    </row>
    <row r="105" spans="1:254" s="2" customFormat="1" ht="24.75" customHeight="1">
      <c r="A105" s="11">
        <v>103</v>
      </c>
      <c r="B105" s="12" t="str">
        <f>"陆全海"</f>
        <v>陆全海</v>
      </c>
      <c r="C105" s="13" t="s">
        <v>12</v>
      </c>
      <c r="D105" s="13" t="str">
        <f>"230702102206"</f>
        <v>230702102206</v>
      </c>
      <c r="E105" s="18">
        <v>66.8</v>
      </c>
      <c r="F105" s="19" t="s">
        <v>10</v>
      </c>
      <c r="G105" s="19" t="s">
        <v>10</v>
      </c>
      <c r="H105" s="11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1"/>
      <c r="IQ105" s="21"/>
      <c r="IR105" s="21"/>
      <c r="IS105" s="21"/>
      <c r="IT105" s="21"/>
    </row>
    <row r="106" spans="1:254" s="2" customFormat="1" ht="24.75" customHeight="1">
      <c r="A106" s="11">
        <v>104</v>
      </c>
      <c r="B106" s="12" t="str">
        <f>"黄亭钧"</f>
        <v>黄亭钧</v>
      </c>
      <c r="C106" s="13" t="s">
        <v>12</v>
      </c>
      <c r="D106" s="13" t="str">
        <f>"230702102914"</f>
        <v>230702102914</v>
      </c>
      <c r="E106" s="18">
        <v>66.75</v>
      </c>
      <c r="F106" s="19" t="s">
        <v>10</v>
      </c>
      <c r="G106" s="19" t="s">
        <v>10</v>
      </c>
      <c r="H106" s="11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21"/>
      <c r="IP106" s="21"/>
      <c r="IQ106" s="21"/>
      <c r="IR106" s="21"/>
      <c r="IS106" s="21"/>
      <c r="IT106" s="21"/>
    </row>
    <row r="107" spans="1:254" s="2" customFormat="1" ht="24.75" customHeight="1">
      <c r="A107" s="11">
        <v>105</v>
      </c>
      <c r="B107" s="12" t="str">
        <f>"陈英苇"</f>
        <v>陈英苇</v>
      </c>
      <c r="C107" s="13" t="s">
        <v>12</v>
      </c>
      <c r="D107" s="13" t="str">
        <f>"230702103209"</f>
        <v>230702103209</v>
      </c>
      <c r="E107" s="18">
        <v>66.75</v>
      </c>
      <c r="F107" s="19" t="s">
        <v>10</v>
      </c>
      <c r="G107" s="19" t="s">
        <v>10</v>
      </c>
      <c r="H107" s="11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  <c r="IR107" s="21"/>
      <c r="IS107" s="21"/>
      <c r="IT107" s="21"/>
    </row>
    <row r="108" spans="1:254" s="2" customFormat="1" ht="24.75" customHeight="1">
      <c r="A108" s="11">
        <v>106</v>
      </c>
      <c r="B108" s="12" t="str">
        <f>"辜武维"</f>
        <v>辜武维</v>
      </c>
      <c r="C108" s="13" t="s">
        <v>12</v>
      </c>
      <c r="D108" s="13" t="str">
        <f>"230702100814"</f>
        <v>230702100814</v>
      </c>
      <c r="E108" s="18">
        <v>66.515</v>
      </c>
      <c r="F108" s="19" t="s">
        <v>10</v>
      </c>
      <c r="G108" s="19" t="s">
        <v>10</v>
      </c>
      <c r="H108" s="11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  <c r="IN108" s="21"/>
      <c r="IO108" s="21"/>
      <c r="IP108" s="21"/>
      <c r="IQ108" s="21"/>
      <c r="IR108" s="21"/>
      <c r="IS108" s="21"/>
      <c r="IT108" s="21"/>
    </row>
    <row r="109" spans="1:254" s="2" customFormat="1" ht="24.75" customHeight="1">
      <c r="A109" s="11">
        <v>107</v>
      </c>
      <c r="B109" s="12" t="str">
        <f>"林迪"</f>
        <v>林迪</v>
      </c>
      <c r="C109" s="13" t="s">
        <v>12</v>
      </c>
      <c r="D109" s="13" t="str">
        <f>"230702103330"</f>
        <v>230702103330</v>
      </c>
      <c r="E109" s="18">
        <v>66.25</v>
      </c>
      <c r="F109" s="19" t="s">
        <v>10</v>
      </c>
      <c r="G109" s="19" t="s">
        <v>10</v>
      </c>
      <c r="H109" s="11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  <c r="IN109" s="21"/>
      <c r="IO109" s="21"/>
      <c r="IP109" s="21"/>
      <c r="IQ109" s="21"/>
      <c r="IR109" s="21"/>
      <c r="IS109" s="21"/>
      <c r="IT109" s="21"/>
    </row>
    <row r="110" spans="1:254" s="2" customFormat="1" ht="24.75" customHeight="1">
      <c r="A110" s="11">
        <v>108</v>
      </c>
      <c r="B110" s="12" t="str">
        <f>"高金浩"</f>
        <v>高金浩</v>
      </c>
      <c r="C110" s="13" t="s">
        <v>12</v>
      </c>
      <c r="D110" s="13" t="str">
        <f>"230702101410"</f>
        <v>230702101410</v>
      </c>
      <c r="E110" s="18">
        <v>66.185</v>
      </c>
      <c r="F110" s="19" t="s">
        <v>10</v>
      </c>
      <c r="G110" s="19" t="s">
        <v>10</v>
      </c>
      <c r="H110" s="11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  <c r="IN110" s="21"/>
      <c r="IO110" s="21"/>
      <c r="IP110" s="21"/>
      <c r="IQ110" s="21"/>
      <c r="IR110" s="21"/>
      <c r="IS110" s="21"/>
      <c r="IT110" s="21"/>
    </row>
    <row r="111" spans="1:254" s="2" customFormat="1" ht="24.75" customHeight="1">
      <c r="A111" s="11">
        <v>109</v>
      </c>
      <c r="B111" s="12" t="str">
        <f>"钟顺帆"</f>
        <v>钟顺帆</v>
      </c>
      <c r="C111" s="13" t="s">
        <v>12</v>
      </c>
      <c r="D111" s="13" t="str">
        <f>"230702102619"</f>
        <v>230702102619</v>
      </c>
      <c r="E111" s="18">
        <v>66.11500000000001</v>
      </c>
      <c r="F111" s="19" t="s">
        <v>10</v>
      </c>
      <c r="G111" s="19" t="s">
        <v>10</v>
      </c>
      <c r="H111" s="11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  <c r="IL111" s="21"/>
      <c r="IM111" s="21"/>
      <c r="IN111" s="21"/>
      <c r="IO111" s="21"/>
      <c r="IP111" s="21"/>
      <c r="IQ111" s="21"/>
      <c r="IR111" s="21"/>
      <c r="IS111" s="21"/>
      <c r="IT111" s="21"/>
    </row>
    <row r="112" spans="1:254" s="2" customFormat="1" ht="24.75" customHeight="1">
      <c r="A112" s="11">
        <v>110</v>
      </c>
      <c r="B112" s="12" t="str">
        <f>"黄新文"</f>
        <v>黄新文</v>
      </c>
      <c r="C112" s="13" t="s">
        <v>12</v>
      </c>
      <c r="D112" s="13" t="str">
        <f>"230702102825"</f>
        <v>230702102825</v>
      </c>
      <c r="E112" s="18">
        <v>66.065</v>
      </c>
      <c r="F112" s="19" t="s">
        <v>10</v>
      </c>
      <c r="G112" s="19" t="s">
        <v>10</v>
      </c>
      <c r="H112" s="11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  <c r="ID112" s="21"/>
      <c r="IE112" s="21"/>
      <c r="IF112" s="21"/>
      <c r="IG112" s="21"/>
      <c r="IH112" s="21"/>
      <c r="II112" s="21"/>
      <c r="IJ112" s="21"/>
      <c r="IK112" s="21"/>
      <c r="IL112" s="21"/>
      <c r="IM112" s="21"/>
      <c r="IN112" s="21"/>
      <c r="IO112" s="21"/>
      <c r="IP112" s="21"/>
      <c r="IQ112" s="21"/>
      <c r="IR112" s="21"/>
      <c r="IS112" s="21"/>
      <c r="IT112" s="21"/>
    </row>
    <row r="113" spans="1:254" s="2" customFormat="1" ht="24.75" customHeight="1">
      <c r="A113" s="11">
        <v>111</v>
      </c>
      <c r="B113" s="12" t="str">
        <f>"方良运"</f>
        <v>方良运</v>
      </c>
      <c r="C113" s="13" t="s">
        <v>12</v>
      </c>
      <c r="D113" s="13" t="str">
        <f>"230702100803"</f>
        <v>230702100803</v>
      </c>
      <c r="E113" s="18">
        <v>66</v>
      </c>
      <c r="F113" s="19" t="s">
        <v>10</v>
      </c>
      <c r="G113" s="19" t="s">
        <v>10</v>
      </c>
      <c r="H113" s="11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  <c r="ID113" s="21"/>
      <c r="IE113" s="21"/>
      <c r="IF113" s="21"/>
      <c r="IG113" s="21"/>
      <c r="IH113" s="21"/>
      <c r="II113" s="21"/>
      <c r="IJ113" s="21"/>
      <c r="IK113" s="21"/>
      <c r="IL113" s="21"/>
      <c r="IM113" s="21"/>
      <c r="IN113" s="21"/>
      <c r="IO113" s="21"/>
      <c r="IP113" s="21"/>
      <c r="IQ113" s="21"/>
      <c r="IR113" s="21"/>
      <c r="IS113" s="21"/>
      <c r="IT113" s="21"/>
    </row>
    <row r="114" spans="1:254" s="2" customFormat="1" ht="24.75" customHeight="1">
      <c r="A114" s="11">
        <v>112</v>
      </c>
      <c r="B114" s="12" t="str">
        <f>"韦道威"</f>
        <v>韦道威</v>
      </c>
      <c r="C114" s="13" t="s">
        <v>12</v>
      </c>
      <c r="D114" s="13" t="str">
        <f>"230702101723"</f>
        <v>230702101723</v>
      </c>
      <c r="E114" s="18">
        <v>66</v>
      </c>
      <c r="F114" s="19" t="s">
        <v>10</v>
      </c>
      <c r="G114" s="19" t="s">
        <v>10</v>
      </c>
      <c r="H114" s="11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21"/>
      <c r="IP114" s="21"/>
      <c r="IQ114" s="21"/>
      <c r="IR114" s="21"/>
      <c r="IS114" s="21"/>
      <c r="IT114" s="21"/>
    </row>
    <row r="115" spans="1:254" s="2" customFormat="1" ht="24.75" customHeight="1">
      <c r="A115" s="11">
        <v>113</v>
      </c>
      <c r="B115" s="12" t="str">
        <f>"林光荣"</f>
        <v>林光荣</v>
      </c>
      <c r="C115" s="13" t="s">
        <v>12</v>
      </c>
      <c r="D115" s="13" t="str">
        <f>"230702101520"</f>
        <v>230702101520</v>
      </c>
      <c r="E115" s="18">
        <v>65.86500000000001</v>
      </c>
      <c r="F115" s="19" t="s">
        <v>10</v>
      </c>
      <c r="G115" s="19" t="s">
        <v>10</v>
      </c>
      <c r="H115" s="11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  <c r="IG115" s="21"/>
      <c r="IH115" s="21"/>
      <c r="II115" s="21"/>
      <c r="IJ115" s="21"/>
      <c r="IK115" s="21"/>
      <c r="IL115" s="21"/>
      <c r="IM115" s="21"/>
      <c r="IN115" s="21"/>
      <c r="IO115" s="21"/>
      <c r="IP115" s="21"/>
      <c r="IQ115" s="21"/>
      <c r="IR115" s="21"/>
      <c r="IS115" s="21"/>
      <c r="IT115" s="21"/>
    </row>
    <row r="116" spans="1:254" s="2" customFormat="1" ht="24.75" customHeight="1">
      <c r="A116" s="11">
        <v>114</v>
      </c>
      <c r="B116" s="12" t="str">
        <f>"符超冠"</f>
        <v>符超冠</v>
      </c>
      <c r="C116" s="13" t="s">
        <v>12</v>
      </c>
      <c r="D116" s="13" t="str">
        <f>"230702103123"</f>
        <v>230702103123</v>
      </c>
      <c r="E116" s="18">
        <v>65.83500000000001</v>
      </c>
      <c r="F116" s="19" t="s">
        <v>10</v>
      </c>
      <c r="G116" s="19" t="s">
        <v>10</v>
      </c>
      <c r="H116" s="11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  <c r="ID116" s="21"/>
      <c r="IE116" s="21"/>
      <c r="IF116" s="21"/>
      <c r="IG116" s="21"/>
      <c r="IH116" s="21"/>
      <c r="II116" s="21"/>
      <c r="IJ116" s="21"/>
      <c r="IK116" s="21"/>
      <c r="IL116" s="21"/>
      <c r="IM116" s="21"/>
      <c r="IN116" s="21"/>
      <c r="IO116" s="21"/>
      <c r="IP116" s="21"/>
      <c r="IQ116" s="21"/>
      <c r="IR116" s="21"/>
      <c r="IS116" s="21"/>
      <c r="IT116" s="21"/>
    </row>
    <row r="117" spans="1:254" s="2" customFormat="1" ht="24.75" customHeight="1">
      <c r="A117" s="11">
        <v>115</v>
      </c>
      <c r="B117" s="12" t="str">
        <f>"汤国鑫"</f>
        <v>汤国鑫</v>
      </c>
      <c r="C117" s="13" t="s">
        <v>12</v>
      </c>
      <c r="D117" s="13" t="str">
        <f>"230702103302"</f>
        <v>230702103302</v>
      </c>
      <c r="E117" s="18">
        <v>65.685</v>
      </c>
      <c r="F117" s="19" t="s">
        <v>10</v>
      </c>
      <c r="G117" s="19" t="s">
        <v>10</v>
      </c>
      <c r="H117" s="11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  <c r="IH117" s="21"/>
      <c r="II117" s="21"/>
      <c r="IJ117" s="21"/>
      <c r="IK117" s="21"/>
      <c r="IL117" s="21"/>
      <c r="IM117" s="21"/>
      <c r="IN117" s="21"/>
      <c r="IO117" s="21"/>
      <c r="IP117" s="21"/>
      <c r="IQ117" s="21"/>
      <c r="IR117" s="21"/>
      <c r="IS117" s="21"/>
      <c r="IT117" s="21"/>
    </row>
    <row r="118" spans="1:254" s="2" customFormat="1" ht="24.75" customHeight="1">
      <c r="A118" s="11">
        <v>116</v>
      </c>
      <c r="B118" s="12" t="str">
        <f>"胡正宽"</f>
        <v>胡正宽</v>
      </c>
      <c r="C118" s="13" t="s">
        <v>12</v>
      </c>
      <c r="D118" s="13" t="str">
        <f>"230702101308"</f>
        <v>230702101308</v>
      </c>
      <c r="E118" s="18">
        <v>65.66499999999999</v>
      </c>
      <c r="F118" s="19" t="s">
        <v>10</v>
      </c>
      <c r="G118" s="19" t="s">
        <v>10</v>
      </c>
      <c r="H118" s="11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21"/>
      <c r="IF118" s="21"/>
      <c r="IG118" s="21"/>
      <c r="IH118" s="21"/>
      <c r="II118" s="21"/>
      <c r="IJ118" s="21"/>
      <c r="IK118" s="21"/>
      <c r="IL118" s="21"/>
      <c r="IM118" s="21"/>
      <c r="IN118" s="21"/>
      <c r="IO118" s="21"/>
      <c r="IP118" s="21"/>
      <c r="IQ118" s="21"/>
      <c r="IR118" s="21"/>
      <c r="IS118" s="21"/>
      <c r="IT118" s="21"/>
    </row>
    <row r="119" spans="1:254" s="2" customFormat="1" ht="24.75" customHeight="1">
      <c r="A119" s="11">
        <v>117</v>
      </c>
      <c r="B119" s="12" t="str">
        <f>"程一航"</f>
        <v>程一航</v>
      </c>
      <c r="C119" s="13" t="s">
        <v>12</v>
      </c>
      <c r="D119" s="13" t="str">
        <f>"230702101929"</f>
        <v>230702101929</v>
      </c>
      <c r="E119" s="18">
        <v>65.66499999999999</v>
      </c>
      <c r="F119" s="19" t="s">
        <v>10</v>
      </c>
      <c r="G119" s="19" t="s">
        <v>10</v>
      </c>
      <c r="H119" s="11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  <c r="IH119" s="21"/>
      <c r="II119" s="21"/>
      <c r="IJ119" s="21"/>
      <c r="IK119" s="21"/>
      <c r="IL119" s="21"/>
      <c r="IM119" s="21"/>
      <c r="IN119" s="21"/>
      <c r="IO119" s="21"/>
      <c r="IP119" s="21"/>
      <c r="IQ119" s="21"/>
      <c r="IR119" s="21"/>
      <c r="IS119" s="21"/>
      <c r="IT119" s="21"/>
    </row>
    <row r="120" spans="1:254" s="2" customFormat="1" ht="24.75" customHeight="1">
      <c r="A120" s="11">
        <v>118</v>
      </c>
      <c r="B120" s="12" t="str">
        <f>"苏运成"</f>
        <v>苏运成</v>
      </c>
      <c r="C120" s="13" t="s">
        <v>12</v>
      </c>
      <c r="D120" s="13" t="str">
        <f>"230702102124"</f>
        <v>230702102124</v>
      </c>
      <c r="E120" s="18">
        <v>65.55</v>
      </c>
      <c r="F120" s="19" t="s">
        <v>10</v>
      </c>
      <c r="G120" s="19" t="s">
        <v>10</v>
      </c>
      <c r="H120" s="11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21"/>
      <c r="HZ120" s="21"/>
      <c r="IA120" s="21"/>
      <c r="IB120" s="21"/>
      <c r="IC120" s="21"/>
      <c r="ID120" s="21"/>
      <c r="IE120" s="21"/>
      <c r="IF120" s="21"/>
      <c r="IG120" s="21"/>
      <c r="IH120" s="21"/>
      <c r="II120" s="21"/>
      <c r="IJ120" s="21"/>
      <c r="IK120" s="21"/>
      <c r="IL120" s="21"/>
      <c r="IM120" s="21"/>
      <c r="IN120" s="21"/>
      <c r="IO120" s="21"/>
      <c r="IP120" s="21"/>
      <c r="IQ120" s="21"/>
      <c r="IR120" s="21"/>
      <c r="IS120" s="21"/>
      <c r="IT120" s="21"/>
    </row>
    <row r="121" spans="1:254" s="2" customFormat="1" ht="24.75" customHeight="1">
      <c r="A121" s="11">
        <v>119</v>
      </c>
      <c r="B121" s="12" t="str">
        <f>"洪文锐"</f>
        <v>洪文锐</v>
      </c>
      <c r="C121" s="13" t="s">
        <v>12</v>
      </c>
      <c r="D121" s="13" t="str">
        <f>"230702103030"</f>
        <v>230702103030</v>
      </c>
      <c r="E121" s="18">
        <v>65.465</v>
      </c>
      <c r="F121" s="19" t="s">
        <v>10</v>
      </c>
      <c r="G121" s="19" t="s">
        <v>10</v>
      </c>
      <c r="H121" s="11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  <c r="HC121" s="21"/>
      <c r="HD121" s="21"/>
      <c r="HE121" s="21"/>
      <c r="HF121" s="21"/>
      <c r="HG121" s="21"/>
      <c r="HH121" s="21"/>
      <c r="HI121" s="21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  <c r="HT121" s="21"/>
      <c r="HU121" s="21"/>
      <c r="HV121" s="21"/>
      <c r="HW121" s="21"/>
      <c r="HX121" s="21"/>
      <c r="HY121" s="21"/>
      <c r="HZ121" s="21"/>
      <c r="IA121" s="21"/>
      <c r="IB121" s="21"/>
      <c r="IC121" s="21"/>
      <c r="ID121" s="21"/>
      <c r="IE121" s="21"/>
      <c r="IF121" s="21"/>
      <c r="IG121" s="21"/>
      <c r="IH121" s="21"/>
      <c r="II121" s="21"/>
      <c r="IJ121" s="21"/>
      <c r="IK121" s="21"/>
      <c r="IL121" s="21"/>
      <c r="IM121" s="21"/>
      <c r="IN121" s="21"/>
      <c r="IO121" s="21"/>
      <c r="IP121" s="21"/>
      <c r="IQ121" s="21"/>
      <c r="IR121" s="21"/>
      <c r="IS121" s="21"/>
      <c r="IT121" s="21"/>
    </row>
    <row r="122" spans="1:254" s="2" customFormat="1" ht="24.75" customHeight="1">
      <c r="A122" s="11">
        <v>120</v>
      </c>
      <c r="B122" s="12" t="str">
        <f>"柳雄"</f>
        <v>柳雄</v>
      </c>
      <c r="C122" s="13" t="s">
        <v>12</v>
      </c>
      <c r="D122" s="13" t="str">
        <f>"230702101906"</f>
        <v>230702101906</v>
      </c>
      <c r="E122" s="18">
        <v>65.45</v>
      </c>
      <c r="F122" s="19" t="s">
        <v>10</v>
      </c>
      <c r="G122" s="19" t="s">
        <v>10</v>
      </c>
      <c r="H122" s="11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/>
      <c r="HC122" s="21"/>
      <c r="HD122" s="21"/>
      <c r="HE122" s="21"/>
      <c r="HF122" s="21"/>
      <c r="HG122" s="21"/>
      <c r="HH122" s="21"/>
      <c r="HI122" s="21"/>
      <c r="HJ122" s="21"/>
      <c r="HK122" s="21"/>
      <c r="HL122" s="21"/>
      <c r="HM122" s="21"/>
      <c r="HN122" s="21"/>
      <c r="HO122" s="21"/>
      <c r="HP122" s="21"/>
      <c r="HQ122" s="21"/>
      <c r="HR122" s="21"/>
      <c r="HS122" s="21"/>
      <c r="HT122" s="21"/>
      <c r="HU122" s="21"/>
      <c r="HV122" s="21"/>
      <c r="HW122" s="21"/>
      <c r="HX122" s="21"/>
      <c r="HY122" s="21"/>
      <c r="HZ122" s="21"/>
      <c r="IA122" s="21"/>
      <c r="IB122" s="21"/>
      <c r="IC122" s="21"/>
      <c r="ID122" s="21"/>
      <c r="IE122" s="21"/>
      <c r="IF122" s="21"/>
      <c r="IG122" s="21"/>
      <c r="IH122" s="21"/>
      <c r="II122" s="21"/>
      <c r="IJ122" s="21"/>
      <c r="IK122" s="21"/>
      <c r="IL122" s="21"/>
      <c r="IM122" s="21"/>
      <c r="IN122" s="21"/>
      <c r="IO122" s="21"/>
      <c r="IP122" s="21"/>
      <c r="IQ122" s="21"/>
      <c r="IR122" s="21"/>
      <c r="IS122" s="21"/>
      <c r="IT122" s="21"/>
    </row>
    <row r="123" spans="1:254" s="2" customFormat="1" ht="24.75" customHeight="1">
      <c r="A123" s="11">
        <v>121</v>
      </c>
      <c r="B123" s="12" t="str">
        <f>"王鑫岳"</f>
        <v>王鑫岳</v>
      </c>
      <c r="C123" s="13" t="s">
        <v>12</v>
      </c>
      <c r="D123" s="13" t="str">
        <f>"230702101107"</f>
        <v>230702101107</v>
      </c>
      <c r="E123" s="18">
        <v>65.265</v>
      </c>
      <c r="F123" s="19" t="s">
        <v>10</v>
      </c>
      <c r="G123" s="19" t="s">
        <v>10</v>
      </c>
      <c r="H123" s="11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1"/>
      <c r="HE123" s="21"/>
      <c r="HF123" s="21"/>
      <c r="HG123" s="21"/>
      <c r="HH123" s="21"/>
      <c r="HI123" s="21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21"/>
      <c r="HX123" s="21"/>
      <c r="HY123" s="21"/>
      <c r="HZ123" s="21"/>
      <c r="IA123" s="21"/>
      <c r="IB123" s="21"/>
      <c r="IC123" s="21"/>
      <c r="ID123" s="21"/>
      <c r="IE123" s="21"/>
      <c r="IF123" s="21"/>
      <c r="IG123" s="21"/>
      <c r="IH123" s="21"/>
      <c r="II123" s="21"/>
      <c r="IJ123" s="21"/>
      <c r="IK123" s="21"/>
      <c r="IL123" s="21"/>
      <c r="IM123" s="21"/>
      <c r="IN123" s="21"/>
      <c r="IO123" s="21"/>
      <c r="IP123" s="21"/>
      <c r="IQ123" s="21"/>
      <c r="IR123" s="21"/>
      <c r="IS123" s="21"/>
      <c r="IT123" s="21"/>
    </row>
    <row r="124" spans="1:254" s="2" customFormat="1" ht="24.75" customHeight="1">
      <c r="A124" s="11">
        <v>122</v>
      </c>
      <c r="B124" s="12" t="str">
        <f>"洪光大"</f>
        <v>洪光大</v>
      </c>
      <c r="C124" s="13" t="s">
        <v>12</v>
      </c>
      <c r="D124" s="13" t="str">
        <f>"230702103415"</f>
        <v>230702103415</v>
      </c>
      <c r="E124" s="18">
        <v>65.15</v>
      </c>
      <c r="F124" s="19" t="s">
        <v>10</v>
      </c>
      <c r="G124" s="19" t="s">
        <v>10</v>
      </c>
      <c r="H124" s="11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  <c r="IB124" s="21"/>
      <c r="IC124" s="21"/>
      <c r="ID124" s="21"/>
      <c r="IE124" s="21"/>
      <c r="IF124" s="21"/>
      <c r="IG124" s="21"/>
      <c r="IH124" s="21"/>
      <c r="II124" s="21"/>
      <c r="IJ124" s="21"/>
      <c r="IK124" s="21"/>
      <c r="IL124" s="21"/>
      <c r="IM124" s="21"/>
      <c r="IN124" s="21"/>
      <c r="IO124" s="21"/>
      <c r="IP124" s="21"/>
      <c r="IQ124" s="21"/>
      <c r="IR124" s="21"/>
      <c r="IS124" s="21"/>
      <c r="IT124" s="21"/>
    </row>
    <row r="125" spans="1:254" s="2" customFormat="1" ht="24.75" customHeight="1">
      <c r="A125" s="11">
        <v>123</v>
      </c>
      <c r="B125" s="12" t="str">
        <f>"林传贤"</f>
        <v>林传贤</v>
      </c>
      <c r="C125" s="13" t="s">
        <v>12</v>
      </c>
      <c r="D125" s="13" t="str">
        <f>"230702101713"</f>
        <v>230702101713</v>
      </c>
      <c r="E125" s="18">
        <v>64.935</v>
      </c>
      <c r="F125" s="19" t="s">
        <v>10</v>
      </c>
      <c r="G125" s="19" t="s">
        <v>10</v>
      </c>
      <c r="H125" s="11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1"/>
      <c r="GS125" s="21"/>
      <c r="GT125" s="21"/>
      <c r="GU125" s="21"/>
      <c r="GV125" s="21"/>
      <c r="GW125" s="21"/>
      <c r="GX125" s="21"/>
      <c r="GY125" s="21"/>
      <c r="GZ125" s="21"/>
      <c r="HA125" s="21"/>
      <c r="HB125" s="21"/>
      <c r="HC125" s="21"/>
      <c r="HD125" s="21"/>
      <c r="HE125" s="21"/>
      <c r="HF125" s="21"/>
      <c r="HG125" s="21"/>
      <c r="HH125" s="21"/>
      <c r="HI125" s="21"/>
      <c r="HJ125" s="21"/>
      <c r="HK125" s="21"/>
      <c r="HL125" s="21"/>
      <c r="HM125" s="21"/>
      <c r="HN125" s="21"/>
      <c r="HO125" s="21"/>
      <c r="HP125" s="21"/>
      <c r="HQ125" s="21"/>
      <c r="HR125" s="21"/>
      <c r="HS125" s="21"/>
      <c r="HT125" s="21"/>
      <c r="HU125" s="21"/>
      <c r="HV125" s="21"/>
      <c r="HW125" s="21"/>
      <c r="HX125" s="21"/>
      <c r="HY125" s="21"/>
      <c r="HZ125" s="21"/>
      <c r="IA125" s="21"/>
      <c r="IB125" s="21"/>
      <c r="IC125" s="21"/>
      <c r="ID125" s="21"/>
      <c r="IE125" s="21"/>
      <c r="IF125" s="21"/>
      <c r="IG125" s="21"/>
      <c r="IH125" s="21"/>
      <c r="II125" s="21"/>
      <c r="IJ125" s="21"/>
      <c r="IK125" s="21"/>
      <c r="IL125" s="21"/>
      <c r="IM125" s="21"/>
      <c r="IN125" s="21"/>
      <c r="IO125" s="21"/>
      <c r="IP125" s="21"/>
      <c r="IQ125" s="21"/>
      <c r="IR125" s="21"/>
      <c r="IS125" s="21"/>
      <c r="IT125" s="21"/>
    </row>
    <row r="126" spans="1:254" s="2" customFormat="1" ht="24.75" customHeight="1">
      <c r="A126" s="11">
        <v>124</v>
      </c>
      <c r="B126" s="12" t="str">
        <f>"王健积"</f>
        <v>王健积</v>
      </c>
      <c r="C126" s="13" t="s">
        <v>12</v>
      </c>
      <c r="D126" s="13" t="str">
        <f>"230702102222"</f>
        <v>230702102222</v>
      </c>
      <c r="E126" s="18">
        <v>64.9</v>
      </c>
      <c r="F126" s="19" t="s">
        <v>10</v>
      </c>
      <c r="G126" s="19" t="s">
        <v>10</v>
      </c>
      <c r="H126" s="11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  <c r="ID126" s="21"/>
      <c r="IE126" s="21"/>
      <c r="IF126" s="21"/>
      <c r="IG126" s="21"/>
      <c r="IH126" s="21"/>
      <c r="II126" s="21"/>
      <c r="IJ126" s="21"/>
      <c r="IK126" s="21"/>
      <c r="IL126" s="21"/>
      <c r="IM126" s="21"/>
      <c r="IN126" s="21"/>
      <c r="IO126" s="21"/>
      <c r="IP126" s="21"/>
      <c r="IQ126" s="21"/>
      <c r="IR126" s="21"/>
      <c r="IS126" s="21"/>
      <c r="IT126" s="21"/>
    </row>
    <row r="127" spans="1:254" s="2" customFormat="1" ht="24.75" customHeight="1">
      <c r="A127" s="11">
        <v>125</v>
      </c>
      <c r="B127" s="12" t="str">
        <f>"严正青"</f>
        <v>严正青</v>
      </c>
      <c r="C127" s="13" t="s">
        <v>12</v>
      </c>
      <c r="D127" s="13" t="str">
        <f>"230702101029"</f>
        <v>230702101029</v>
      </c>
      <c r="E127" s="18">
        <v>64.83500000000001</v>
      </c>
      <c r="F127" s="19" t="s">
        <v>10</v>
      </c>
      <c r="G127" s="19" t="s">
        <v>10</v>
      </c>
      <c r="H127" s="11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  <c r="HC127" s="21"/>
      <c r="HD127" s="21"/>
      <c r="HE127" s="21"/>
      <c r="HF127" s="21"/>
      <c r="HG127" s="21"/>
      <c r="HH127" s="21"/>
      <c r="HI127" s="21"/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21"/>
      <c r="HX127" s="21"/>
      <c r="HY127" s="21"/>
      <c r="HZ127" s="21"/>
      <c r="IA127" s="21"/>
      <c r="IB127" s="21"/>
      <c r="IC127" s="21"/>
      <c r="ID127" s="21"/>
      <c r="IE127" s="21"/>
      <c r="IF127" s="21"/>
      <c r="IG127" s="21"/>
      <c r="IH127" s="21"/>
      <c r="II127" s="21"/>
      <c r="IJ127" s="21"/>
      <c r="IK127" s="21"/>
      <c r="IL127" s="21"/>
      <c r="IM127" s="21"/>
      <c r="IN127" s="21"/>
      <c r="IO127" s="21"/>
      <c r="IP127" s="21"/>
      <c r="IQ127" s="21"/>
      <c r="IR127" s="21"/>
      <c r="IS127" s="21"/>
      <c r="IT127" s="21"/>
    </row>
    <row r="128" spans="1:254" s="2" customFormat="1" ht="24.75" customHeight="1">
      <c r="A128" s="11">
        <v>126</v>
      </c>
      <c r="B128" s="12" t="str">
        <f>"黄儒俊"</f>
        <v>黄儒俊</v>
      </c>
      <c r="C128" s="13" t="s">
        <v>12</v>
      </c>
      <c r="D128" s="13" t="str">
        <f>"230702101411"</f>
        <v>230702101411</v>
      </c>
      <c r="E128" s="18">
        <v>64.785</v>
      </c>
      <c r="F128" s="19" t="s">
        <v>10</v>
      </c>
      <c r="G128" s="19" t="s">
        <v>10</v>
      </c>
      <c r="H128" s="11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  <c r="HC128" s="21"/>
      <c r="HD128" s="21"/>
      <c r="HE128" s="21"/>
      <c r="HF128" s="21"/>
      <c r="HG128" s="21"/>
      <c r="HH128" s="21"/>
      <c r="HI128" s="21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21"/>
      <c r="HZ128" s="21"/>
      <c r="IA128" s="21"/>
      <c r="IB128" s="21"/>
      <c r="IC128" s="21"/>
      <c r="ID128" s="21"/>
      <c r="IE128" s="21"/>
      <c r="IF128" s="21"/>
      <c r="IG128" s="21"/>
      <c r="IH128" s="21"/>
      <c r="II128" s="21"/>
      <c r="IJ128" s="21"/>
      <c r="IK128" s="21"/>
      <c r="IL128" s="21"/>
      <c r="IM128" s="21"/>
      <c r="IN128" s="21"/>
      <c r="IO128" s="21"/>
      <c r="IP128" s="21"/>
      <c r="IQ128" s="21"/>
      <c r="IR128" s="21"/>
      <c r="IS128" s="21"/>
      <c r="IT128" s="21"/>
    </row>
    <row r="129" spans="1:254" s="2" customFormat="1" ht="24.75" customHeight="1">
      <c r="A129" s="11">
        <v>127</v>
      </c>
      <c r="B129" s="12" t="str">
        <f>"羊坚子"</f>
        <v>羊坚子</v>
      </c>
      <c r="C129" s="13" t="s">
        <v>12</v>
      </c>
      <c r="D129" s="13" t="str">
        <f>"230702103019"</f>
        <v>230702103019</v>
      </c>
      <c r="E129" s="18">
        <v>64.535</v>
      </c>
      <c r="F129" s="19" t="s">
        <v>10</v>
      </c>
      <c r="G129" s="19" t="s">
        <v>10</v>
      </c>
      <c r="H129" s="11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  <c r="IK129" s="21"/>
      <c r="IL129" s="21"/>
      <c r="IM129" s="21"/>
      <c r="IN129" s="21"/>
      <c r="IO129" s="21"/>
      <c r="IP129" s="21"/>
      <c r="IQ129" s="21"/>
      <c r="IR129" s="21"/>
      <c r="IS129" s="21"/>
      <c r="IT129" s="21"/>
    </row>
    <row r="130" spans="1:254" s="2" customFormat="1" ht="24.75" customHeight="1">
      <c r="A130" s="11">
        <v>128</v>
      </c>
      <c r="B130" s="12" t="str">
        <f>"符起才"</f>
        <v>符起才</v>
      </c>
      <c r="C130" s="13" t="s">
        <v>12</v>
      </c>
      <c r="D130" s="13" t="str">
        <f>"230702103530"</f>
        <v>230702103530</v>
      </c>
      <c r="E130" s="18">
        <v>64.515</v>
      </c>
      <c r="F130" s="19" t="s">
        <v>10</v>
      </c>
      <c r="G130" s="19" t="s">
        <v>10</v>
      </c>
      <c r="H130" s="11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  <c r="GN130" s="20"/>
      <c r="GO130" s="20"/>
      <c r="GP130" s="20"/>
      <c r="GQ130" s="20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21"/>
      <c r="IF130" s="21"/>
      <c r="IG130" s="21"/>
      <c r="IH130" s="21"/>
      <c r="II130" s="21"/>
      <c r="IJ130" s="21"/>
      <c r="IK130" s="21"/>
      <c r="IL130" s="21"/>
      <c r="IM130" s="21"/>
      <c r="IN130" s="21"/>
      <c r="IO130" s="21"/>
      <c r="IP130" s="21"/>
      <c r="IQ130" s="21"/>
      <c r="IR130" s="21"/>
      <c r="IS130" s="21"/>
      <c r="IT130" s="21"/>
    </row>
    <row r="131" spans="1:254" s="2" customFormat="1" ht="24.75" customHeight="1">
      <c r="A131" s="11">
        <v>129</v>
      </c>
      <c r="B131" s="12" t="str">
        <f>"杜坤贞"</f>
        <v>杜坤贞</v>
      </c>
      <c r="C131" s="13" t="s">
        <v>12</v>
      </c>
      <c r="D131" s="13" t="str">
        <f>"230702101823"</f>
        <v>230702101823</v>
      </c>
      <c r="E131" s="18">
        <v>64.465</v>
      </c>
      <c r="F131" s="19" t="s">
        <v>10</v>
      </c>
      <c r="G131" s="19" t="s">
        <v>10</v>
      </c>
      <c r="H131" s="11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  <c r="IK131" s="21"/>
      <c r="IL131" s="21"/>
      <c r="IM131" s="21"/>
      <c r="IN131" s="21"/>
      <c r="IO131" s="21"/>
      <c r="IP131" s="21"/>
      <c r="IQ131" s="21"/>
      <c r="IR131" s="21"/>
      <c r="IS131" s="21"/>
      <c r="IT131" s="21"/>
    </row>
    <row r="132" spans="1:254" s="2" customFormat="1" ht="24.75" customHeight="1">
      <c r="A132" s="11">
        <v>130</v>
      </c>
      <c r="B132" s="12" t="str">
        <f>"陈会"</f>
        <v>陈会</v>
      </c>
      <c r="C132" s="13" t="s">
        <v>12</v>
      </c>
      <c r="D132" s="13" t="str">
        <f>"230702101229"</f>
        <v>230702101229</v>
      </c>
      <c r="E132" s="18">
        <v>64.435</v>
      </c>
      <c r="F132" s="19" t="s">
        <v>10</v>
      </c>
      <c r="G132" s="19" t="s">
        <v>10</v>
      </c>
      <c r="H132" s="11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  <c r="GN132" s="20"/>
      <c r="GO132" s="20"/>
      <c r="GP132" s="20"/>
      <c r="GQ132" s="20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  <c r="IH132" s="21"/>
      <c r="II132" s="21"/>
      <c r="IJ132" s="21"/>
      <c r="IK132" s="21"/>
      <c r="IL132" s="21"/>
      <c r="IM132" s="21"/>
      <c r="IN132" s="21"/>
      <c r="IO132" s="21"/>
      <c r="IP132" s="21"/>
      <c r="IQ132" s="21"/>
      <c r="IR132" s="21"/>
      <c r="IS132" s="21"/>
      <c r="IT132" s="21"/>
    </row>
    <row r="133" spans="1:254" s="2" customFormat="1" ht="24.75" customHeight="1">
      <c r="A133" s="11">
        <v>131</v>
      </c>
      <c r="B133" s="12" t="str">
        <f>"符绵亮"</f>
        <v>符绵亮</v>
      </c>
      <c r="C133" s="13" t="s">
        <v>12</v>
      </c>
      <c r="D133" s="13" t="str">
        <f>"230702103120"</f>
        <v>230702103120</v>
      </c>
      <c r="E133" s="18">
        <v>64.4</v>
      </c>
      <c r="F133" s="19" t="s">
        <v>10</v>
      </c>
      <c r="G133" s="19" t="s">
        <v>10</v>
      </c>
      <c r="H133" s="11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  <c r="IK133" s="21"/>
      <c r="IL133" s="21"/>
      <c r="IM133" s="21"/>
      <c r="IN133" s="21"/>
      <c r="IO133" s="21"/>
      <c r="IP133" s="21"/>
      <c r="IQ133" s="21"/>
      <c r="IR133" s="21"/>
      <c r="IS133" s="21"/>
      <c r="IT133" s="21"/>
    </row>
    <row r="134" spans="1:254" s="2" customFormat="1" ht="24.75" customHeight="1">
      <c r="A134" s="11">
        <v>132</v>
      </c>
      <c r="B134" s="12" t="str">
        <f>"曾广勇"</f>
        <v>曾广勇</v>
      </c>
      <c r="C134" s="13" t="s">
        <v>12</v>
      </c>
      <c r="D134" s="13" t="str">
        <f>"230702103122"</f>
        <v>230702103122</v>
      </c>
      <c r="E134" s="18">
        <v>64.35</v>
      </c>
      <c r="F134" s="19" t="s">
        <v>10</v>
      </c>
      <c r="G134" s="19" t="s">
        <v>10</v>
      </c>
      <c r="H134" s="11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21"/>
      <c r="HZ134" s="21"/>
      <c r="IA134" s="21"/>
      <c r="IB134" s="21"/>
      <c r="IC134" s="21"/>
      <c r="ID134" s="21"/>
      <c r="IE134" s="21"/>
      <c r="IF134" s="21"/>
      <c r="IG134" s="21"/>
      <c r="IH134" s="21"/>
      <c r="II134" s="21"/>
      <c r="IJ134" s="21"/>
      <c r="IK134" s="21"/>
      <c r="IL134" s="21"/>
      <c r="IM134" s="21"/>
      <c r="IN134" s="21"/>
      <c r="IO134" s="21"/>
      <c r="IP134" s="21"/>
      <c r="IQ134" s="21"/>
      <c r="IR134" s="21"/>
      <c r="IS134" s="21"/>
      <c r="IT134" s="21"/>
    </row>
    <row r="135" spans="1:254" s="2" customFormat="1" ht="24.75" customHeight="1">
      <c r="A135" s="11">
        <v>133</v>
      </c>
      <c r="B135" s="12" t="str">
        <f>"韩金伯"</f>
        <v>韩金伯</v>
      </c>
      <c r="C135" s="13" t="s">
        <v>12</v>
      </c>
      <c r="D135" s="13" t="str">
        <f>"230702101728"</f>
        <v>230702101728</v>
      </c>
      <c r="E135" s="18">
        <v>64.33500000000001</v>
      </c>
      <c r="F135" s="19" t="s">
        <v>10</v>
      </c>
      <c r="G135" s="19" t="s">
        <v>10</v>
      </c>
      <c r="H135" s="11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  <c r="GN135" s="20"/>
      <c r="GO135" s="20"/>
      <c r="GP135" s="20"/>
      <c r="GQ135" s="20"/>
      <c r="GR135" s="21"/>
      <c r="GS135" s="21"/>
      <c r="GT135" s="21"/>
      <c r="GU135" s="21"/>
      <c r="GV135" s="21"/>
      <c r="GW135" s="21"/>
      <c r="GX135" s="21"/>
      <c r="GY135" s="21"/>
      <c r="GZ135" s="21"/>
      <c r="HA135" s="21"/>
      <c r="HB135" s="21"/>
      <c r="HC135" s="21"/>
      <c r="HD135" s="21"/>
      <c r="HE135" s="21"/>
      <c r="HF135" s="21"/>
      <c r="HG135" s="21"/>
      <c r="HH135" s="21"/>
      <c r="HI135" s="21"/>
      <c r="HJ135" s="21"/>
      <c r="HK135" s="21"/>
      <c r="HL135" s="21"/>
      <c r="HM135" s="21"/>
      <c r="HN135" s="21"/>
      <c r="HO135" s="21"/>
      <c r="HP135" s="21"/>
      <c r="HQ135" s="21"/>
      <c r="HR135" s="21"/>
      <c r="HS135" s="21"/>
      <c r="HT135" s="21"/>
      <c r="HU135" s="21"/>
      <c r="HV135" s="21"/>
      <c r="HW135" s="21"/>
      <c r="HX135" s="21"/>
      <c r="HY135" s="21"/>
      <c r="HZ135" s="21"/>
      <c r="IA135" s="21"/>
      <c r="IB135" s="21"/>
      <c r="IC135" s="21"/>
      <c r="ID135" s="21"/>
      <c r="IE135" s="21"/>
      <c r="IF135" s="21"/>
      <c r="IG135" s="21"/>
      <c r="IH135" s="21"/>
      <c r="II135" s="21"/>
      <c r="IJ135" s="21"/>
      <c r="IK135" s="21"/>
      <c r="IL135" s="21"/>
      <c r="IM135" s="21"/>
      <c r="IN135" s="21"/>
      <c r="IO135" s="21"/>
      <c r="IP135" s="21"/>
      <c r="IQ135" s="21"/>
      <c r="IR135" s="21"/>
      <c r="IS135" s="21"/>
      <c r="IT135" s="21"/>
    </row>
    <row r="136" spans="1:254" s="2" customFormat="1" ht="24.75" customHeight="1">
      <c r="A136" s="11">
        <v>134</v>
      </c>
      <c r="B136" s="12" t="str">
        <f>"林汉全"</f>
        <v>林汉全</v>
      </c>
      <c r="C136" s="13" t="s">
        <v>12</v>
      </c>
      <c r="D136" s="13" t="str">
        <f>"230702102003"</f>
        <v>230702102003</v>
      </c>
      <c r="E136" s="18">
        <v>64.185</v>
      </c>
      <c r="F136" s="19" t="s">
        <v>10</v>
      </c>
      <c r="G136" s="19" t="s">
        <v>10</v>
      </c>
      <c r="H136" s="11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  <c r="GN136" s="20"/>
      <c r="GO136" s="20"/>
      <c r="GP136" s="20"/>
      <c r="GQ136" s="20"/>
      <c r="GR136" s="21"/>
      <c r="GS136" s="21"/>
      <c r="GT136" s="21"/>
      <c r="GU136" s="21"/>
      <c r="GV136" s="21"/>
      <c r="GW136" s="21"/>
      <c r="GX136" s="21"/>
      <c r="GY136" s="21"/>
      <c r="GZ136" s="21"/>
      <c r="HA136" s="21"/>
      <c r="HB136" s="21"/>
      <c r="HC136" s="21"/>
      <c r="HD136" s="21"/>
      <c r="HE136" s="21"/>
      <c r="HF136" s="21"/>
      <c r="HG136" s="21"/>
      <c r="HH136" s="21"/>
      <c r="HI136" s="21"/>
      <c r="HJ136" s="21"/>
      <c r="HK136" s="21"/>
      <c r="HL136" s="21"/>
      <c r="HM136" s="21"/>
      <c r="HN136" s="21"/>
      <c r="HO136" s="21"/>
      <c r="HP136" s="21"/>
      <c r="HQ136" s="21"/>
      <c r="HR136" s="21"/>
      <c r="HS136" s="21"/>
      <c r="HT136" s="21"/>
      <c r="HU136" s="21"/>
      <c r="HV136" s="21"/>
      <c r="HW136" s="21"/>
      <c r="HX136" s="21"/>
      <c r="HY136" s="21"/>
      <c r="HZ136" s="21"/>
      <c r="IA136" s="21"/>
      <c r="IB136" s="21"/>
      <c r="IC136" s="21"/>
      <c r="ID136" s="21"/>
      <c r="IE136" s="21"/>
      <c r="IF136" s="21"/>
      <c r="IG136" s="21"/>
      <c r="IH136" s="21"/>
      <c r="II136" s="21"/>
      <c r="IJ136" s="21"/>
      <c r="IK136" s="21"/>
      <c r="IL136" s="21"/>
      <c r="IM136" s="21"/>
      <c r="IN136" s="21"/>
      <c r="IO136" s="21"/>
      <c r="IP136" s="21"/>
      <c r="IQ136" s="21"/>
      <c r="IR136" s="21"/>
      <c r="IS136" s="21"/>
      <c r="IT136" s="21"/>
    </row>
    <row r="137" spans="1:254" s="2" customFormat="1" ht="24.75" customHeight="1">
      <c r="A137" s="11">
        <v>135</v>
      </c>
      <c r="B137" s="12" t="str">
        <f>"符教崇"</f>
        <v>符教崇</v>
      </c>
      <c r="C137" s="13" t="s">
        <v>12</v>
      </c>
      <c r="D137" s="13" t="str">
        <f>"230702103321"</f>
        <v>230702103321</v>
      </c>
      <c r="E137" s="18">
        <v>64.185</v>
      </c>
      <c r="F137" s="19" t="s">
        <v>10</v>
      </c>
      <c r="G137" s="19" t="s">
        <v>10</v>
      </c>
      <c r="H137" s="11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  <c r="GN137" s="20"/>
      <c r="GO137" s="20"/>
      <c r="GP137" s="20"/>
      <c r="GQ137" s="20"/>
      <c r="GR137" s="21"/>
      <c r="GS137" s="21"/>
      <c r="GT137" s="21"/>
      <c r="GU137" s="21"/>
      <c r="GV137" s="21"/>
      <c r="GW137" s="21"/>
      <c r="GX137" s="21"/>
      <c r="GY137" s="21"/>
      <c r="GZ137" s="21"/>
      <c r="HA137" s="21"/>
      <c r="HB137" s="21"/>
      <c r="HC137" s="21"/>
      <c r="HD137" s="21"/>
      <c r="HE137" s="21"/>
      <c r="HF137" s="21"/>
      <c r="HG137" s="21"/>
      <c r="HH137" s="21"/>
      <c r="HI137" s="21"/>
      <c r="HJ137" s="21"/>
      <c r="HK137" s="21"/>
      <c r="HL137" s="21"/>
      <c r="HM137" s="21"/>
      <c r="HN137" s="21"/>
      <c r="HO137" s="21"/>
      <c r="HP137" s="21"/>
      <c r="HQ137" s="21"/>
      <c r="HR137" s="21"/>
      <c r="HS137" s="21"/>
      <c r="HT137" s="21"/>
      <c r="HU137" s="21"/>
      <c r="HV137" s="21"/>
      <c r="HW137" s="21"/>
      <c r="HX137" s="21"/>
      <c r="HY137" s="21"/>
      <c r="HZ137" s="21"/>
      <c r="IA137" s="21"/>
      <c r="IB137" s="21"/>
      <c r="IC137" s="21"/>
      <c r="ID137" s="21"/>
      <c r="IE137" s="21"/>
      <c r="IF137" s="21"/>
      <c r="IG137" s="21"/>
      <c r="IH137" s="21"/>
      <c r="II137" s="21"/>
      <c r="IJ137" s="21"/>
      <c r="IK137" s="21"/>
      <c r="IL137" s="21"/>
      <c r="IM137" s="21"/>
      <c r="IN137" s="21"/>
      <c r="IO137" s="21"/>
      <c r="IP137" s="21"/>
      <c r="IQ137" s="21"/>
      <c r="IR137" s="21"/>
      <c r="IS137" s="21"/>
      <c r="IT137" s="21"/>
    </row>
    <row r="138" spans="1:254" s="2" customFormat="1" ht="24.75" customHeight="1">
      <c r="A138" s="11">
        <v>136</v>
      </c>
      <c r="B138" s="12" t="str">
        <f>"何昌金"</f>
        <v>何昌金</v>
      </c>
      <c r="C138" s="13" t="s">
        <v>12</v>
      </c>
      <c r="D138" s="13" t="str">
        <f>"230702102312"</f>
        <v>230702102312</v>
      </c>
      <c r="E138" s="18">
        <v>63.835</v>
      </c>
      <c r="F138" s="19" t="s">
        <v>10</v>
      </c>
      <c r="G138" s="19" t="s">
        <v>10</v>
      </c>
      <c r="H138" s="11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  <c r="GN138" s="20"/>
      <c r="GO138" s="20"/>
      <c r="GP138" s="20"/>
      <c r="GQ138" s="20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/>
      <c r="HC138" s="21"/>
      <c r="HD138" s="21"/>
      <c r="HE138" s="21"/>
      <c r="HF138" s="21"/>
      <c r="HG138" s="21"/>
      <c r="HH138" s="21"/>
      <c r="HI138" s="21"/>
      <c r="HJ138" s="21"/>
      <c r="HK138" s="21"/>
      <c r="HL138" s="21"/>
      <c r="HM138" s="21"/>
      <c r="HN138" s="21"/>
      <c r="HO138" s="21"/>
      <c r="HP138" s="21"/>
      <c r="HQ138" s="21"/>
      <c r="HR138" s="21"/>
      <c r="HS138" s="21"/>
      <c r="HT138" s="21"/>
      <c r="HU138" s="21"/>
      <c r="HV138" s="21"/>
      <c r="HW138" s="21"/>
      <c r="HX138" s="21"/>
      <c r="HY138" s="21"/>
      <c r="HZ138" s="21"/>
      <c r="IA138" s="21"/>
      <c r="IB138" s="21"/>
      <c r="IC138" s="21"/>
      <c r="ID138" s="21"/>
      <c r="IE138" s="21"/>
      <c r="IF138" s="21"/>
      <c r="IG138" s="21"/>
      <c r="IH138" s="21"/>
      <c r="II138" s="21"/>
      <c r="IJ138" s="21"/>
      <c r="IK138" s="21"/>
      <c r="IL138" s="21"/>
      <c r="IM138" s="21"/>
      <c r="IN138" s="21"/>
      <c r="IO138" s="21"/>
      <c r="IP138" s="21"/>
      <c r="IQ138" s="21"/>
      <c r="IR138" s="21"/>
      <c r="IS138" s="21"/>
      <c r="IT138" s="21"/>
    </row>
    <row r="139" spans="1:254" s="2" customFormat="1" ht="24.75" customHeight="1">
      <c r="A139" s="11">
        <v>137</v>
      </c>
      <c r="B139" s="12" t="str">
        <f>"王吉成"</f>
        <v>王吉成</v>
      </c>
      <c r="C139" s="13" t="s">
        <v>12</v>
      </c>
      <c r="D139" s="13" t="str">
        <f>"230702102726"</f>
        <v>230702102726</v>
      </c>
      <c r="E139" s="18">
        <v>63.835</v>
      </c>
      <c r="F139" s="19" t="s">
        <v>10</v>
      </c>
      <c r="G139" s="19" t="s">
        <v>10</v>
      </c>
      <c r="H139" s="11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  <c r="GN139" s="20"/>
      <c r="GO139" s="20"/>
      <c r="GP139" s="20"/>
      <c r="GQ139" s="20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/>
      <c r="HC139" s="21"/>
      <c r="HD139" s="21"/>
      <c r="HE139" s="21"/>
      <c r="HF139" s="21"/>
      <c r="HG139" s="21"/>
      <c r="HH139" s="21"/>
      <c r="HI139" s="21"/>
      <c r="HJ139" s="21"/>
      <c r="HK139" s="21"/>
      <c r="HL139" s="21"/>
      <c r="HM139" s="21"/>
      <c r="HN139" s="21"/>
      <c r="HO139" s="21"/>
      <c r="HP139" s="21"/>
      <c r="HQ139" s="21"/>
      <c r="HR139" s="21"/>
      <c r="HS139" s="21"/>
      <c r="HT139" s="21"/>
      <c r="HU139" s="21"/>
      <c r="HV139" s="21"/>
      <c r="HW139" s="21"/>
      <c r="HX139" s="21"/>
      <c r="HY139" s="21"/>
      <c r="HZ139" s="21"/>
      <c r="IA139" s="21"/>
      <c r="IB139" s="21"/>
      <c r="IC139" s="21"/>
      <c r="ID139" s="21"/>
      <c r="IE139" s="21"/>
      <c r="IF139" s="21"/>
      <c r="IG139" s="21"/>
      <c r="IH139" s="21"/>
      <c r="II139" s="21"/>
      <c r="IJ139" s="21"/>
      <c r="IK139" s="21"/>
      <c r="IL139" s="21"/>
      <c r="IM139" s="21"/>
      <c r="IN139" s="21"/>
      <c r="IO139" s="21"/>
      <c r="IP139" s="21"/>
      <c r="IQ139" s="21"/>
      <c r="IR139" s="21"/>
      <c r="IS139" s="21"/>
      <c r="IT139" s="21"/>
    </row>
    <row r="140" spans="1:254" s="2" customFormat="1" ht="24.75" customHeight="1">
      <c r="A140" s="11">
        <v>138</v>
      </c>
      <c r="B140" s="12" t="str">
        <f>"王立宦"</f>
        <v>王立宦</v>
      </c>
      <c r="C140" s="13" t="s">
        <v>12</v>
      </c>
      <c r="D140" s="13" t="str">
        <f>"230702101006"</f>
        <v>230702101006</v>
      </c>
      <c r="E140" s="18">
        <v>63.535</v>
      </c>
      <c r="F140" s="19" t="s">
        <v>10</v>
      </c>
      <c r="G140" s="19" t="s">
        <v>10</v>
      </c>
      <c r="H140" s="11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  <c r="GN140" s="20"/>
      <c r="GO140" s="20"/>
      <c r="GP140" s="20"/>
      <c r="GQ140" s="20"/>
      <c r="GR140" s="21"/>
      <c r="GS140" s="21"/>
      <c r="GT140" s="21"/>
      <c r="GU140" s="21"/>
      <c r="GV140" s="21"/>
      <c r="GW140" s="21"/>
      <c r="GX140" s="21"/>
      <c r="GY140" s="21"/>
      <c r="GZ140" s="21"/>
      <c r="HA140" s="21"/>
      <c r="HB140" s="21"/>
      <c r="HC140" s="21"/>
      <c r="HD140" s="21"/>
      <c r="HE140" s="21"/>
      <c r="HF140" s="21"/>
      <c r="HG140" s="21"/>
      <c r="HH140" s="21"/>
      <c r="HI140" s="21"/>
      <c r="HJ140" s="21"/>
      <c r="HK140" s="21"/>
      <c r="HL140" s="21"/>
      <c r="HM140" s="21"/>
      <c r="HN140" s="21"/>
      <c r="HO140" s="21"/>
      <c r="HP140" s="21"/>
      <c r="HQ140" s="21"/>
      <c r="HR140" s="21"/>
      <c r="HS140" s="21"/>
      <c r="HT140" s="21"/>
      <c r="HU140" s="21"/>
      <c r="HV140" s="21"/>
      <c r="HW140" s="21"/>
      <c r="HX140" s="21"/>
      <c r="HY140" s="21"/>
      <c r="HZ140" s="21"/>
      <c r="IA140" s="21"/>
      <c r="IB140" s="21"/>
      <c r="IC140" s="21"/>
      <c r="ID140" s="21"/>
      <c r="IE140" s="21"/>
      <c r="IF140" s="21"/>
      <c r="IG140" s="21"/>
      <c r="IH140" s="21"/>
      <c r="II140" s="21"/>
      <c r="IJ140" s="21"/>
      <c r="IK140" s="21"/>
      <c r="IL140" s="21"/>
      <c r="IM140" s="21"/>
      <c r="IN140" s="21"/>
      <c r="IO140" s="21"/>
      <c r="IP140" s="21"/>
      <c r="IQ140" s="21"/>
      <c r="IR140" s="21"/>
      <c r="IS140" s="21"/>
      <c r="IT140" s="21"/>
    </row>
    <row r="141" spans="1:254" s="2" customFormat="1" ht="24.75" customHeight="1">
      <c r="A141" s="11">
        <v>139</v>
      </c>
      <c r="B141" s="12" t="str">
        <f>"薛永谨"</f>
        <v>薛永谨</v>
      </c>
      <c r="C141" s="13" t="s">
        <v>12</v>
      </c>
      <c r="D141" s="13" t="str">
        <f>"230702102427"</f>
        <v>230702102427</v>
      </c>
      <c r="E141" s="18">
        <v>63.4</v>
      </c>
      <c r="F141" s="19" t="s">
        <v>10</v>
      </c>
      <c r="G141" s="19" t="s">
        <v>10</v>
      </c>
      <c r="H141" s="11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  <c r="GN141" s="20"/>
      <c r="GO141" s="20"/>
      <c r="GP141" s="20"/>
      <c r="GQ141" s="20"/>
      <c r="GR141" s="21"/>
      <c r="GS141" s="21"/>
      <c r="GT141" s="21"/>
      <c r="GU141" s="21"/>
      <c r="GV141" s="21"/>
      <c r="GW141" s="21"/>
      <c r="GX141" s="21"/>
      <c r="GY141" s="21"/>
      <c r="GZ141" s="21"/>
      <c r="HA141" s="21"/>
      <c r="HB141" s="21"/>
      <c r="HC141" s="21"/>
      <c r="HD141" s="21"/>
      <c r="HE141" s="21"/>
      <c r="HF141" s="21"/>
      <c r="HG141" s="21"/>
      <c r="HH141" s="21"/>
      <c r="HI141" s="21"/>
      <c r="HJ141" s="21"/>
      <c r="HK141" s="21"/>
      <c r="HL141" s="21"/>
      <c r="HM141" s="21"/>
      <c r="HN141" s="21"/>
      <c r="HO141" s="21"/>
      <c r="HP141" s="21"/>
      <c r="HQ141" s="21"/>
      <c r="HR141" s="21"/>
      <c r="HS141" s="21"/>
      <c r="HT141" s="21"/>
      <c r="HU141" s="21"/>
      <c r="HV141" s="21"/>
      <c r="HW141" s="21"/>
      <c r="HX141" s="21"/>
      <c r="HY141" s="21"/>
      <c r="HZ141" s="21"/>
      <c r="IA141" s="21"/>
      <c r="IB141" s="21"/>
      <c r="IC141" s="21"/>
      <c r="ID141" s="21"/>
      <c r="IE141" s="21"/>
      <c r="IF141" s="21"/>
      <c r="IG141" s="21"/>
      <c r="IH141" s="21"/>
      <c r="II141" s="21"/>
      <c r="IJ141" s="21"/>
      <c r="IK141" s="21"/>
      <c r="IL141" s="21"/>
      <c r="IM141" s="21"/>
      <c r="IN141" s="21"/>
      <c r="IO141" s="21"/>
      <c r="IP141" s="21"/>
      <c r="IQ141" s="21"/>
      <c r="IR141" s="21"/>
      <c r="IS141" s="21"/>
      <c r="IT141" s="21"/>
    </row>
    <row r="142" spans="1:254" s="2" customFormat="1" ht="24.75" customHeight="1">
      <c r="A142" s="11">
        <v>140</v>
      </c>
      <c r="B142" s="12" t="str">
        <f>"杨德美"</f>
        <v>杨德美</v>
      </c>
      <c r="C142" s="13" t="s">
        <v>12</v>
      </c>
      <c r="D142" s="13" t="str">
        <f>"230702102506"</f>
        <v>230702102506</v>
      </c>
      <c r="E142" s="18">
        <v>63.285</v>
      </c>
      <c r="F142" s="19" t="s">
        <v>10</v>
      </c>
      <c r="G142" s="19" t="s">
        <v>10</v>
      </c>
      <c r="H142" s="11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  <c r="GN142" s="20"/>
      <c r="GO142" s="20"/>
      <c r="GP142" s="20"/>
      <c r="GQ142" s="20"/>
      <c r="GR142" s="21"/>
      <c r="GS142" s="21"/>
      <c r="GT142" s="21"/>
      <c r="GU142" s="21"/>
      <c r="GV142" s="21"/>
      <c r="GW142" s="21"/>
      <c r="GX142" s="21"/>
      <c r="GY142" s="21"/>
      <c r="GZ142" s="21"/>
      <c r="HA142" s="21"/>
      <c r="HB142" s="21"/>
      <c r="HC142" s="21"/>
      <c r="HD142" s="21"/>
      <c r="HE142" s="21"/>
      <c r="HF142" s="21"/>
      <c r="HG142" s="21"/>
      <c r="HH142" s="21"/>
      <c r="HI142" s="21"/>
      <c r="HJ142" s="21"/>
      <c r="HK142" s="21"/>
      <c r="HL142" s="21"/>
      <c r="HM142" s="21"/>
      <c r="HN142" s="21"/>
      <c r="HO142" s="21"/>
      <c r="HP142" s="21"/>
      <c r="HQ142" s="21"/>
      <c r="HR142" s="21"/>
      <c r="HS142" s="21"/>
      <c r="HT142" s="21"/>
      <c r="HU142" s="21"/>
      <c r="HV142" s="21"/>
      <c r="HW142" s="21"/>
      <c r="HX142" s="21"/>
      <c r="HY142" s="21"/>
      <c r="HZ142" s="21"/>
      <c r="IA142" s="21"/>
      <c r="IB142" s="21"/>
      <c r="IC142" s="21"/>
      <c r="ID142" s="21"/>
      <c r="IE142" s="21"/>
      <c r="IF142" s="21"/>
      <c r="IG142" s="21"/>
      <c r="IH142" s="21"/>
      <c r="II142" s="21"/>
      <c r="IJ142" s="21"/>
      <c r="IK142" s="21"/>
      <c r="IL142" s="21"/>
      <c r="IM142" s="21"/>
      <c r="IN142" s="21"/>
      <c r="IO142" s="21"/>
      <c r="IP142" s="21"/>
      <c r="IQ142" s="21"/>
      <c r="IR142" s="21"/>
      <c r="IS142" s="21"/>
      <c r="IT142" s="21"/>
    </row>
    <row r="143" spans="1:254" s="2" customFormat="1" ht="24.75" customHeight="1">
      <c r="A143" s="11">
        <v>141</v>
      </c>
      <c r="B143" s="12" t="str">
        <f>"苏俊亿"</f>
        <v>苏俊亿</v>
      </c>
      <c r="C143" s="13" t="s">
        <v>12</v>
      </c>
      <c r="D143" s="13" t="str">
        <f>"230702101504"</f>
        <v>230702101504</v>
      </c>
      <c r="E143" s="18">
        <v>63.235</v>
      </c>
      <c r="F143" s="19" t="s">
        <v>10</v>
      </c>
      <c r="G143" s="19" t="s">
        <v>10</v>
      </c>
      <c r="H143" s="11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  <c r="GN143" s="20"/>
      <c r="GO143" s="20"/>
      <c r="GP143" s="20"/>
      <c r="GQ143" s="20"/>
      <c r="GR143" s="21"/>
      <c r="GS143" s="21"/>
      <c r="GT143" s="21"/>
      <c r="GU143" s="21"/>
      <c r="GV143" s="21"/>
      <c r="GW143" s="21"/>
      <c r="GX143" s="21"/>
      <c r="GY143" s="21"/>
      <c r="GZ143" s="21"/>
      <c r="HA143" s="21"/>
      <c r="HB143" s="21"/>
      <c r="HC143" s="21"/>
      <c r="HD143" s="21"/>
      <c r="HE143" s="21"/>
      <c r="HF143" s="21"/>
      <c r="HG143" s="21"/>
      <c r="HH143" s="21"/>
      <c r="HI143" s="21"/>
      <c r="HJ143" s="21"/>
      <c r="HK143" s="21"/>
      <c r="HL143" s="21"/>
      <c r="HM143" s="21"/>
      <c r="HN143" s="21"/>
      <c r="HO143" s="21"/>
      <c r="HP143" s="21"/>
      <c r="HQ143" s="21"/>
      <c r="HR143" s="21"/>
      <c r="HS143" s="21"/>
      <c r="HT143" s="21"/>
      <c r="HU143" s="21"/>
      <c r="HV143" s="21"/>
      <c r="HW143" s="21"/>
      <c r="HX143" s="21"/>
      <c r="HY143" s="21"/>
      <c r="HZ143" s="21"/>
      <c r="IA143" s="21"/>
      <c r="IB143" s="21"/>
      <c r="IC143" s="21"/>
      <c r="ID143" s="21"/>
      <c r="IE143" s="21"/>
      <c r="IF143" s="21"/>
      <c r="IG143" s="21"/>
      <c r="IH143" s="21"/>
      <c r="II143" s="21"/>
      <c r="IJ143" s="21"/>
      <c r="IK143" s="21"/>
      <c r="IL143" s="21"/>
      <c r="IM143" s="21"/>
      <c r="IN143" s="21"/>
      <c r="IO143" s="21"/>
      <c r="IP143" s="21"/>
      <c r="IQ143" s="21"/>
      <c r="IR143" s="21"/>
      <c r="IS143" s="21"/>
      <c r="IT143" s="21"/>
    </row>
    <row r="144" spans="1:254" s="2" customFormat="1" ht="24.75" customHeight="1">
      <c r="A144" s="11">
        <v>142</v>
      </c>
      <c r="B144" s="12" t="str">
        <f>"吴卓林"</f>
        <v>吴卓林</v>
      </c>
      <c r="C144" s="13" t="s">
        <v>12</v>
      </c>
      <c r="D144" s="13" t="str">
        <f>"230702102621"</f>
        <v>230702102621</v>
      </c>
      <c r="E144" s="18">
        <v>63.2</v>
      </c>
      <c r="F144" s="19" t="s">
        <v>10</v>
      </c>
      <c r="G144" s="19" t="s">
        <v>10</v>
      </c>
      <c r="H144" s="11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  <c r="GN144" s="20"/>
      <c r="GO144" s="20"/>
      <c r="GP144" s="20"/>
      <c r="GQ144" s="20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/>
      <c r="HB144" s="21"/>
      <c r="HC144" s="21"/>
      <c r="HD144" s="21"/>
      <c r="HE144" s="21"/>
      <c r="HF144" s="21"/>
      <c r="HG144" s="21"/>
      <c r="HH144" s="21"/>
      <c r="HI144" s="21"/>
      <c r="HJ144" s="21"/>
      <c r="HK144" s="21"/>
      <c r="HL144" s="21"/>
      <c r="HM144" s="21"/>
      <c r="HN144" s="21"/>
      <c r="HO144" s="21"/>
      <c r="HP144" s="21"/>
      <c r="HQ144" s="21"/>
      <c r="HR144" s="21"/>
      <c r="HS144" s="21"/>
      <c r="HT144" s="21"/>
      <c r="HU144" s="21"/>
      <c r="HV144" s="21"/>
      <c r="HW144" s="21"/>
      <c r="HX144" s="21"/>
      <c r="HY144" s="21"/>
      <c r="HZ144" s="21"/>
      <c r="IA144" s="21"/>
      <c r="IB144" s="21"/>
      <c r="IC144" s="21"/>
      <c r="ID144" s="21"/>
      <c r="IE144" s="21"/>
      <c r="IF144" s="21"/>
      <c r="IG144" s="21"/>
      <c r="IH144" s="21"/>
      <c r="II144" s="21"/>
      <c r="IJ144" s="21"/>
      <c r="IK144" s="21"/>
      <c r="IL144" s="21"/>
      <c r="IM144" s="21"/>
      <c r="IN144" s="21"/>
      <c r="IO144" s="21"/>
      <c r="IP144" s="21"/>
      <c r="IQ144" s="21"/>
      <c r="IR144" s="21"/>
      <c r="IS144" s="21"/>
      <c r="IT144" s="21"/>
    </row>
    <row r="145" spans="1:254" s="2" customFormat="1" ht="24.75" customHeight="1">
      <c r="A145" s="11">
        <v>143</v>
      </c>
      <c r="B145" s="12" t="str">
        <f>"王鹏泳"</f>
        <v>王鹏泳</v>
      </c>
      <c r="C145" s="13" t="s">
        <v>12</v>
      </c>
      <c r="D145" s="13" t="str">
        <f>"230702103119"</f>
        <v>230702103119</v>
      </c>
      <c r="E145" s="18">
        <v>63.185</v>
      </c>
      <c r="F145" s="19" t="s">
        <v>10</v>
      </c>
      <c r="G145" s="19" t="s">
        <v>10</v>
      </c>
      <c r="H145" s="11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  <c r="GN145" s="20"/>
      <c r="GO145" s="20"/>
      <c r="GP145" s="20"/>
      <c r="GQ145" s="20"/>
      <c r="GR145" s="21"/>
      <c r="GS145" s="21"/>
      <c r="GT145" s="21"/>
      <c r="GU145" s="21"/>
      <c r="GV145" s="21"/>
      <c r="GW145" s="21"/>
      <c r="GX145" s="21"/>
      <c r="GY145" s="21"/>
      <c r="GZ145" s="21"/>
      <c r="HA145" s="21"/>
      <c r="HB145" s="21"/>
      <c r="HC145" s="21"/>
      <c r="HD145" s="21"/>
      <c r="HE145" s="21"/>
      <c r="HF145" s="21"/>
      <c r="HG145" s="21"/>
      <c r="HH145" s="21"/>
      <c r="HI145" s="21"/>
      <c r="HJ145" s="21"/>
      <c r="HK145" s="21"/>
      <c r="HL145" s="21"/>
      <c r="HM145" s="21"/>
      <c r="HN145" s="21"/>
      <c r="HO145" s="21"/>
      <c r="HP145" s="21"/>
      <c r="HQ145" s="21"/>
      <c r="HR145" s="21"/>
      <c r="HS145" s="21"/>
      <c r="HT145" s="21"/>
      <c r="HU145" s="21"/>
      <c r="HV145" s="21"/>
      <c r="HW145" s="21"/>
      <c r="HX145" s="21"/>
      <c r="HY145" s="21"/>
      <c r="HZ145" s="21"/>
      <c r="IA145" s="21"/>
      <c r="IB145" s="21"/>
      <c r="IC145" s="21"/>
      <c r="ID145" s="21"/>
      <c r="IE145" s="21"/>
      <c r="IF145" s="21"/>
      <c r="IG145" s="21"/>
      <c r="IH145" s="21"/>
      <c r="II145" s="21"/>
      <c r="IJ145" s="21"/>
      <c r="IK145" s="21"/>
      <c r="IL145" s="21"/>
      <c r="IM145" s="21"/>
      <c r="IN145" s="21"/>
      <c r="IO145" s="21"/>
      <c r="IP145" s="21"/>
      <c r="IQ145" s="21"/>
      <c r="IR145" s="21"/>
      <c r="IS145" s="21"/>
      <c r="IT145" s="21"/>
    </row>
    <row r="146" spans="1:254" s="2" customFormat="1" ht="24.75" customHeight="1">
      <c r="A146" s="11">
        <v>144</v>
      </c>
      <c r="B146" s="12" t="str">
        <f>"杜才秀"</f>
        <v>杜才秀</v>
      </c>
      <c r="C146" s="13" t="s">
        <v>12</v>
      </c>
      <c r="D146" s="13" t="str">
        <f>"230702101608"</f>
        <v>230702101608</v>
      </c>
      <c r="E146" s="18">
        <v>63.085</v>
      </c>
      <c r="F146" s="19" t="s">
        <v>10</v>
      </c>
      <c r="G146" s="19" t="s">
        <v>10</v>
      </c>
      <c r="H146" s="11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  <c r="GN146" s="20"/>
      <c r="GO146" s="20"/>
      <c r="GP146" s="20"/>
      <c r="GQ146" s="20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/>
      <c r="HC146" s="21"/>
      <c r="HD146" s="21"/>
      <c r="HE146" s="21"/>
      <c r="HF146" s="21"/>
      <c r="HG146" s="21"/>
      <c r="HH146" s="21"/>
      <c r="HI146" s="21"/>
      <c r="HJ146" s="21"/>
      <c r="HK146" s="21"/>
      <c r="HL146" s="21"/>
      <c r="HM146" s="21"/>
      <c r="HN146" s="21"/>
      <c r="HO146" s="21"/>
      <c r="HP146" s="21"/>
      <c r="HQ146" s="21"/>
      <c r="HR146" s="21"/>
      <c r="HS146" s="21"/>
      <c r="HT146" s="21"/>
      <c r="HU146" s="21"/>
      <c r="HV146" s="21"/>
      <c r="HW146" s="21"/>
      <c r="HX146" s="21"/>
      <c r="HY146" s="21"/>
      <c r="HZ146" s="21"/>
      <c r="IA146" s="21"/>
      <c r="IB146" s="21"/>
      <c r="IC146" s="21"/>
      <c r="ID146" s="21"/>
      <c r="IE146" s="21"/>
      <c r="IF146" s="21"/>
      <c r="IG146" s="21"/>
      <c r="IH146" s="21"/>
      <c r="II146" s="21"/>
      <c r="IJ146" s="21"/>
      <c r="IK146" s="21"/>
      <c r="IL146" s="21"/>
      <c r="IM146" s="21"/>
      <c r="IN146" s="21"/>
      <c r="IO146" s="21"/>
      <c r="IP146" s="21"/>
      <c r="IQ146" s="21"/>
      <c r="IR146" s="21"/>
      <c r="IS146" s="21"/>
      <c r="IT146" s="21"/>
    </row>
    <row r="147" spans="1:254" s="2" customFormat="1" ht="24.75" customHeight="1">
      <c r="A147" s="11">
        <v>145</v>
      </c>
      <c r="B147" s="12" t="str">
        <f>"吴育烈"</f>
        <v>吴育烈</v>
      </c>
      <c r="C147" s="13" t="s">
        <v>12</v>
      </c>
      <c r="D147" s="13" t="str">
        <f>"230702102009"</f>
        <v>230702102009</v>
      </c>
      <c r="E147" s="18">
        <v>62.835</v>
      </c>
      <c r="F147" s="19" t="s">
        <v>10</v>
      </c>
      <c r="G147" s="19" t="s">
        <v>10</v>
      </c>
      <c r="H147" s="11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  <c r="GN147" s="20"/>
      <c r="GO147" s="20"/>
      <c r="GP147" s="20"/>
      <c r="GQ147" s="20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/>
      <c r="HC147" s="21"/>
      <c r="HD147" s="21"/>
      <c r="HE147" s="21"/>
      <c r="HF147" s="21"/>
      <c r="HG147" s="21"/>
      <c r="HH147" s="21"/>
      <c r="HI147" s="21"/>
      <c r="HJ147" s="21"/>
      <c r="HK147" s="21"/>
      <c r="HL147" s="21"/>
      <c r="HM147" s="21"/>
      <c r="HN147" s="21"/>
      <c r="HO147" s="21"/>
      <c r="HP147" s="21"/>
      <c r="HQ147" s="21"/>
      <c r="HR147" s="21"/>
      <c r="HS147" s="21"/>
      <c r="HT147" s="21"/>
      <c r="HU147" s="21"/>
      <c r="HV147" s="21"/>
      <c r="HW147" s="21"/>
      <c r="HX147" s="21"/>
      <c r="HY147" s="21"/>
      <c r="HZ147" s="21"/>
      <c r="IA147" s="21"/>
      <c r="IB147" s="21"/>
      <c r="IC147" s="21"/>
      <c r="ID147" s="21"/>
      <c r="IE147" s="21"/>
      <c r="IF147" s="21"/>
      <c r="IG147" s="21"/>
      <c r="IH147" s="21"/>
      <c r="II147" s="21"/>
      <c r="IJ147" s="21"/>
      <c r="IK147" s="21"/>
      <c r="IL147" s="21"/>
      <c r="IM147" s="21"/>
      <c r="IN147" s="21"/>
      <c r="IO147" s="21"/>
      <c r="IP147" s="21"/>
      <c r="IQ147" s="21"/>
      <c r="IR147" s="21"/>
      <c r="IS147" s="21"/>
      <c r="IT147" s="21"/>
    </row>
    <row r="148" spans="1:254" s="2" customFormat="1" ht="24.75" customHeight="1">
      <c r="A148" s="11">
        <v>146</v>
      </c>
      <c r="B148" s="12" t="str">
        <f>"王安卫"</f>
        <v>王安卫</v>
      </c>
      <c r="C148" s="13" t="s">
        <v>12</v>
      </c>
      <c r="D148" s="13" t="str">
        <f>"230702103006"</f>
        <v>230702103006</v>
      </c>
      <c r="E148" s="18">
        <v>62.615</v>
      </c>
      <c r="F148" s="19" t="s">
        <v>10</v>
      </c>
      <c r="G148" s="19" t="s">
        <v>10</v>
      </c>
      <c r="H148" s="11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  <c r="GN148" s="20"/>
      <c r="GO148" s="20"/>
      <c r="GP148" s="20"/>
      <c r="GQ148" s="20"/>
      <c r="GR148" s="21"/>
      <c r="GS148" s="21"/>
      <c r="GT148" s="21"/>
      <c r="GU148" s="21"/>
      <c r="GV148" s="21"/>
      <c r="GW148" s="21"/>
      <c r="GX148" s="21"/>
      <c r="GY148" s="21"/>
      <c r="GZ148" s="21"/>
      <c r="HA148" s="21"/>
      <c r="HB148" s="21"/>
      <c r="HC148" s="21"/>
      <c r="HD148" s="21"/>
      <c r="HE148" s="21"/>
      <c r="HF148" s="21"/>
      <c r="HG148" s="21"/>
      <c r="HH148" s="21"/>
      <c r="HI148" s="21"/>
      <c r="HJ148" s="21"/>
      <c r="HK148" s="21"/>
      <c r="HL148" s="21"/>
      <c r="HM148" s="21"/>
      <c r="HN148" s="21"/>
      <c r="HO148" s="21"/>
      <c r="HP148" s="21"/>
      <c r="HQ148" s="21"/>
      <c r="HR148" s="21"/>
      <c r="HS148" s="21"/>
      <c r="HT148" s="21"/>
      <c r="HU148" s="21"/>
      <c r="HV148" s="21"/>
      <c r="HW148" s="21"/>
      <c r="HX148" s="21"/>
      <c r="HY148" s="21"/>
      <c r="HZ148" s="21"/>
      <c r="IA148" s="21"/>
      <c r="IB148" s="21"/>
      <c r="IC148" s="21"/>
      <c r="ID148" s="21"/>
      <c r="IE148" s="21"/>
      <c r="IF148" s="21"/>
      <c r="IG148" s="21"/>
      <c r="IH148" s="21"/>
      <c r="II148" s="21"/>
      <c r="IJ148" s="21"/>
      <c r="IK148" s="21"/>
      <c r="IL148" s="21"/>
      <c r="IM148" s="21"/>
      <c r="IN148" s="21"/>
      <c r="IO148" s="21"/>
      <c r="IP148" s="21"/>
      <c r="IQ148" s="21"/>
      <c r="IR148" s="21"/>
      <c r="IS148" s="21"/>
      <c r="IT148" s="21"/>
    </row>
    <row r="149" spans="1:254" s="2" customFormat="1" ht="24.75" customHeight="1">
      <c r="A149" s="11">
        <v>147</v>
      </c>
      <c r="B149" s="12" t="str">
        <f>"王云道"</f>
        <v>王云道</v>
      </c>
      <c r="C149" s="13" t="s">
        <v>12</v>
      </c>
      <c r="D149" s="13" t="str">
        <f>"230702101125"</f>
        <v>230702101125</v>
      </c>
      <c r="E149" s="18">
        <v>62.5</v>
      </c>
      <c r="F149" s="19" t="s">
        <v>10</v>
      </c>
      <c r="G149" s="19" t="s">
        <v>10</v>
      </c>
      <c r="H149" s="11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  <c r="GN149" s="20"/>
      <c r="GO149" s="20"/>
      <c r="GP149" s="20"/>
      <c r="GQ149" s="20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  <c r="IB149" s="21"/>
      <c r="IC149" s="21"/>
      <c r="ID149" s="21"/>
      <c r="IE149" s="21"/>
      <c r="IF149" s="21"/>
      <c r="IG149" s="21"/>
      <c r="IH149" s="21"/>
      <c r="II149" s="21"/>
      <c r="IJ149" s="21"/>
      <c r="IK149" s="21"/>
      <c r="IL149" s="21"/>
      <c r="IM149" s="21"/>
      <c r="IN149" s="21"/>
      <c r="IO149" s="21"/>
      <c r="IP149" s="21"/>
      <c r="IQ149" s="21"/>
      <c r="IR149" s="21"/>
      <c r="IS149" s="21"/>
      <c r="IT149" s="21"/>
    </row>
    <row r="150" spans="1:254" s="2" customFormat="1" ht="24.75" customHeight="1">
      <c r="A150" s="11">
        <v>148</v>
      </c>
      <c r="B150" s="12" t="str">
        <f>"羊聪"</f>
        <v>羊聪</v>
      </c>
      <c r="C150" s="13" t="s">
        <v>12</v>
      </c>
      <c r="D150" s="13" t="str">
        <f>"230702103001"</f>
        <v>230702103001</v>
      </c>
      <c r="E150" s="18">
        <v>62.335</v>
      </c>
      <c r="F150" s="19" t="s">
        <v>10</v>
      </c>
      <c r="G150" s="19" t="s">
        <v>10</v>
      </c>
      <c r="H150" s="11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  <c r="GN150" s="20"/>
      <c r="GO150" s="20"/>
      <c r="GP150" s="20"/>
      <c r="GQ150" s="20"/>
      <c r="GR150" s="21"/>
      <c r="GS150" s="21"/>
      <c r="GT150" s="21"/>
      <c r="GU150" s="21"/>
      <c r="GV150" s="21"/>
      <c r="GW150" s="21"/>
      <c r="GX150" s="21"/>
      <c r="GY150" s="21"/>
      <c r="GZ150" s="21"/>
      <c r="HA150" s="21"/>
      <c r="HB150" s="21"/>
      <c r="HC150" s="21"/>
      <c r="HD150" s="21"/>
      <c r="HE150" s="21"/>
      <c r="HF150" s="21"/>
      <c r="HG150" s="21"/>
      <c r="HH150" s="21"/>
      <c r="HI150" s="21"/>
      <c r="HJ150" s="21"/>
      <c r="HK150" s="21"/>
      <c r="HL150" s="21"/>
      <c r="HM150" s="21"/>
      <c r="HN150" s="21"/>
      <c r="HO150" s="21"/>
      <c r="HP150" s="21"/>
      <c r="HQ150" s="21"/>
      <c r="HR150" s="21"/>
      <c r="HS150" s="21"/>
      <c r="HT150" s="21"/>
      <c r="HU150" s="21"/>
      <c r="HV150" s="21"/>
      <c r="HW150" s="21"/>
      <c r="HX150" s="21"/>
      <c r="HY150" s="21"/>
      <c r="HZ150" s="21"/>
      <c r="IA150" s="21"/>
      <c r="IB150" s="21"/>
      <c r="IC150" s="21"/>
      <c r="ID150" s="21"/>
      <c r="IE150" s="21"/>
      <c r="IF150" s="21"/>
      <c r="IG150" s="21"/>
      <c r="IH150" s="21"/>
      <c r="II150" s="21"/>
      <c r="IJ150" s="21"/>
      <c r="IK150" s="21"/>
      <c r="IL150" s="21"/>
      <c r="IM150" s="21"/>
      <c r="IN150" s="21"/>
      <c r="IO150" s="21"/>
      <c r="IP150" s="21"/>
      <c r="IQ150" s="21"/>
      <c r="IR150" s="21"/>
      <c r="IS150" s="21"/>
      <c r="IT150" s="21"/>
    </row>
    <row r="151" spans="1:254" s="2" customFormat="1" ht="24.75" customHeight="1">
      <c r="A151" s="11">
        <v>149</v>
      </c>
      <c r="B151" s="12" t="str">
        <f>"张智逸"</f>
        <v>张智逸</v>
      </c>
      <c r="C151" s="13" t="s">
        <v>12</v>
      </c>
      <c r="D151" s="13" t="str">
        <f>"230702101420"</f>
        <v>230702101420</v>
      </c>
      <c r="E151" s="18">
        <v>62.25</v>
      </c>
      <c r="F151" s="19" t="s">
        <v>10</v>
      </c>
      <c r="G151" s="19" t="s">
        <v>10</v>
      </c>
      <c r="H151" s="11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  <c r="GJ151" s="20"/>
      <c r="GK151" s="20"/>
      <c r="GL151" s="20"/>
      <c r="GM151" s="20"/>
      <c r="GN151" s="20"/>
      <c r="GO151" s="20"/>
      <c r="GP151" s="20"/>
      <c r="GQ151" s="20"/>
      <c r="GR151" s="21"/>
      <c r="GS151" s="21"/>
      <c r="GT151" s="21"/>
      <c r="GU151" s="21"/>
      <c r="GV151" s="21"/>
      <c r="GW151" s="21"/>
      <c r="GX151" s="21"/>
      <c r="GY151" s="21"/>
      <c r="GZ151" s="21"/>
      <c r="HA151" s="21"/>
      <c r="HB151" s="21"/>
      <c r="HC151" s="21"/>
      <c r="HD151" s="21"/>
      <c r="HE151" s="21"/>
      <c r="HF151" s="21"/>
      <c r="HG151" s="21"/>
      <c r="HH151" s="21"/>
      <c r="HI151" s="21"/>
      <c r="HJ151" s="21"/>
      <c r="HK151" s="21"/>
      <c r="HL151" s="21"/>
      <c r="HM151" s="21"/>
      <c r="HN151" s="21"/>
      <c r="HO151" s="21"/>
      <c r="HP151" s="21"/>
      <c r="HQ151" s="21"/>
      <c r="HR151" s="21"/>
      <c r="HS151" s="21"/>
      <c r="HT151" s="21"/>
      <c r="HU151" s="21"/>
      <c r="HV151" s="21"/>
      <c r="HW151" s="21"/>
      <c r="HX151" s="21"/>
      <c r="HY151" s="21"/>
      <c r="HZ151" s="21"/>
      <c r="IA151" s="21"/>
      <c r="IB151" s="21"/>
      <c r="IC151" s="21"/>
      <c r="ID151" s="21"/>
      <c r="IE151" s="21"/>
      <c r="IF151" s="21"/>
      <c r="IG151" s="21"/>
      <c r="IH151" s="21"/>
      <c r="II151" s="21"/>
      <c r="IJ151" s="21"/>
      <c r="IK151" s="21"/>
      <c r="IL151" s="21"/>
      <c r="IM151" s="21"/>
      <c r="IN151" s="21"/>
      <c r="IO151" s="21"/>
      <c r="IP151" s="21"/>
      <c r="IQ151" s="21"/>
      <c r="IR151" s="21"/>
      <c r="IS151" s="21"/>
      <c r="IT151" s="21"/>
    </row>
    <row r="152" spans="1:254" s="2" customFormat="1" ht="24.75" customHeight="1">
      <c r="A152" s="11">
        <v>150</v>
      </c>
      <c r="B152" s="12" t="str">
        <f>"王建祥"</f>
        <v>王建祥</v>
      </c>
      <c r="C152" s="13" t="s">
        <v>12</v>
      </c>
      <c r="D152" s="13" t="str">
        <f>"230702101302"</f>
        <v>230702101302</v>
      </c>
      <c r="E152" s="18">
        <v>61.885</v>
      </c>
      <c r="F152" s="19" t="s">
        <v>10</v>
      </c>
      <c r="G152" s="19" t="s">
        <v>10</v>
      </c>
      <c r="H152" s="11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  <c r="GN152" s="20"/>
      <c r="GO152" s="20"/>
      <c r="GP152" s="20"/>
      <c r="GQ152" s="20"/>
      <c r="GR152" s="21"/>
      <c r="GS152" s="21"/>
      <c r="GT152" s="21"/>
      <c r="GU152" s="21"/>
      <c r="GV152" s="21"/>
      <c r="GW152" s="21"/>
      <c r="GX152" s="21"/>
      <c r="GY152" s="21"/>
      <c r="GZ152" s="21"/>
      <c r="HA152" s="21"/>
      <c r="HB152" s="21"/>
      <c r="HC152" s="21"/>
      <c r="HD152" s="21"/>
      <c r="HE152" s="21"/>
      <c r="HF152" s="21"/>
      <c r="HG152" s="21"/>
      <c r="HH152" s="21"/>
      <c r="HI152" s="21"/>
      <c r="HJ152" s="21"/>
      <c r="HK152" s="21"/>
      <c r="HL152" s="21"/>
      <c r="HM152" s="21"/>
      <c r="HN152" s="21"/>
      <c r="HO152" s="21"/>
      <c r="HP152" s="21"/>
      <c r="HQ152" s="21"/>
      <c r="HR152" s="21"/>
      <c r="HS152" s="21"/>
      <c r="HT152" s="21"/>
      <c r="HU152" s="21"/>
      <c r="HV152" s="21"/>
      <c r="HW152" s="21"/>
      <c r="HX152" s="21"/>
      <c r="HY152" s="21"/>
      <c r="HZ152" s="21"/>
      <c r="IA152" s="21"/>
      <c r="IB152" s="21"/>
      <c r="IC152" s="21"/>
      <c r="ID152" s="21"/>
      <c r="IE152" s="21"/>
      <c r="IF152" s="21"/>
      <c r="IG152" s="21"/>
      <c r="IH152" s="21"/>
      <c r="II152" s="21"/>
      <c r="IJ152" s="21"/>
      <c r="IK152" s="21"/>
      <c r="IL152" s="21"/>
      <c r="IM152" s="21"/>
      <c r="IN152" s="21"/>
      <c r="IO152" s="21"/>
      <c r="IP152" s="21"/>
      <c r="IQ152" s="21"/>
      <c r="IR152" s="21"/>
      <c r="IS152" s="21"/>
      <c r="IT152" s="21"/>
    </row>
    <row r="153" spans="1:254" s="2" customFormat="1" ht="24.75" customHeight="1">
      <c r="A153" s="11">
        <v>151</v>
      </c>
      <c r="B153" s="12" t="str">
        <f>"许小柏"</f>
        <v>许小柏</v>
      </c>
      <c r="C153" s="13" t="s">
        <v>12</v>
      </c>
      <c r="D153" s="13" t="str">
        <f>"230702102810"</f>
        <v>230702102810</v>
      </c>
      <c r="E153" s="18">
        <v>61.85</v>
      </c>
      <c r="F153" s="19" t="s">
        <v>10</v>
      </c>
      <c r="G153" s="19" t="s">
        <v>10</v>
      </c>
      <c r="H153" s="11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/>
      <c r="GK153" s="20"/>
      <c r="GL153" s="20"/>
      <c r="GM153" s="20"/>
      <c r="GN153" s="20"/>
      <c r="GO153" s="20"/>
      <c r="GP153" s="20"/>
      <c r="GQ153" s="20"/>
      <c r="GR153" s="21"/>
      <c r="GS153" s="21"/>
      <c r="GT153" s="21"/>
      <c r="GU153" s="21"/>
      <c r="GV153" s="21"/>
      <c r="GW153" s="21"/>
      <c r="GX153" s="21"/>
      <c r="GY153" s="21"/>
      <c r="GZ153" s="21"/>
      <c r="HA153" s="21"/>
      <c r="HB153" s="21"/>
      <c r="HC153" s="21"/>
      <c r="HD153" s="21"/>
      <c r="HE153" s="21"/>
      <c r="HF153" s="21"/>
      <c r="HG153" s="21"/>
      <c r="HH153" s="21"/>
      <c r="HI153" s="21"/>
      <c r="HJ153" s="21"/>
      <c r="HK153" s="21"/>
      <c r="HL153" s="21"/>
      <c r="HM153" s="21"/>
      <c r="HN153" s="21"/>
      <c r="HO153" s="21"/>
      <c r="HP153" s="21"/>
      <c r="HQ153" s="21"/>
      <c r="HR153" s="21"/>
      <c r="HS153" s="21"/>
      <c r="HT153" s="21"/>
      <c r="HU153" s="21"/>
      <c r="HV153" s="21"/>
      <c r="HW153" s="21"/>
      <c r="HX153" s="21"/>
      <c r="HY153" s="21"/>
      <c r="HZ153" s="21"/>
      <c r="IA153" s="21"/>
      <c r="IB153" s="21"/>
      <c r="IC153" s="21"/>
      <c r="ID153" s="21"/>
      <c r="IE153" s="21"/>
      <c r="IF153" s="21"/>
      <c r="IG153" s="21"/>
      <c r="IH153" s="21"/>
      <c r="II153" s="21"/>
      <c r="IJ153" s="21"/>
      <c r="IK153" s="21"/>
      <c r="IL153" s="21"/>
      <c r="IM153" s="21"/>
      <c r="IN153" s="21"/>
      <c r="IO153" s="21"/>
      <c r="IP153" s="21"/>
      <c r="IQ153" s="21"/>
      <c r="IR153" s="21"/>
      <c r="IS153" s="21"/>
      <c r="IT153" s="21"/>
    </row>
    <row r="154" spans="1:254" s="2" customFormat="1" ht="24.75" customHeight="1">
      <c r="A154" s="11">
        <v>152</v>
      </c>
      <c r="B154" s="12" t="str">
        <f>"陈奕隆"</f>
        <v>陈奕隆</v>
      </c>
      <c r="C154" s="13" t="s">
        <v>12</v>
      </c>
      <c r="D154" s="13" t="str">
        <f>"230702102623"</f>
        <v>230702102623</v>
      </c>
      <c r="E154" s="18">
        <v>61.765</v>
      </c>
      <c r="F154" s="19" t="s">
        <v>10</v>
      </c>
      <c r="G154" s="19" t="s">
        <v>10</v>
      </c>
      <c r="H154" s="11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  <c r="FV154" s="20"/>
      <c r="FW154" s="20"/>
      <c r="FX154" s="20"/>
      <c r="FY154" s="20"/>
      <c r="FZ154" s="20"/>
      <c r="GA154" s="20"/>
      <c r="GB154" s="20"/>
      <c r="GC154" s="20"/>
      <c r="GD154" s="20"/>
      <c r="GE154" s="20"/>
      <c r="GF154" s="20"/>
      <c r="GG154" s="20"/>
      <c r="GH154" s="20"/>
      <c r="GI154" s="20"/>
      <c r="GJ154" s="20"/>
      <c r="GK154" s="20"/>
      <c r="GL154" s="20"/>
      <c r="GM154" s="20"/>
      <c r="GN154" s="20"/>
      <c r="GO154" s="20"/>
      <c r="GP154" s="20"/>
      <c r="GQ154" s="20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/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  <c r="IB154" s="21"/>
      <c r="IC154" s="21"/>
      <c r="ID154" s="21"/>
      <c r="IE154" s="21"/>
      <c r="IF154" s="21"/>
      <c r="IG154" s="21"/>
      <c r="IH154" s="21"/>
      <c r="II154" s="21"/>
      <c r="IJ154" s="21"/>
      <c r="IK154" s="21"/>
      <c r="IL154" s="21"/>
      <c r="IM154" s="21"/>
      <c r="IN154" s="21"/>
      <c r="IO154" s="21"/>
      <c r="IP154" s="21"/>
      <c r="IQ154" s="21"/>
      <c r="IR154" s="21"/>
      <c r="IS154" s="21"/>
      <c r="IT154" s="21"/>
    </row>
    <row r="155" spans="1:254" s="2" customFormat="1" ht="24.75" customHeight="1">
      <c r="A155" s="11">
        <v>153</v>
      </c>
      <c r="B155" s="12" t="str">
        <f>"王邦权"</f>
        <v>王邦权</v>
      </c>
      <c r="C155" s="13" t="s">
        <v>12</v>
      </c>
      <c r="D155" s="13" t="str">
        <f>"230702103429"</f>
        <v>230702103429</v>
      </c>
      <c r="E155" s="18">
        <v>61.765</v>
      </c>
      <c r="F155" s="19" t="s">
        <v>10</v>
      </c>
      <c r="G155" s="19" t="s">
        <v>10</v>
      </c>
      <c r="H155" s="11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  <c r="GN155" s="20"/>
      <c r="GO155" s="20"/>
      <c r="GP155" s="20"/>
      <c r="GQ155" s="20"/>
      <c r="GR155" s="21"/>
      <c r="GS155" s="21"/>
      <c r="GT155" s="21"/>
      <c r="GU155" s="21"/>
      <c r="GV155" s="21"/>
      <c r="GW155" s="21"/>
      <c r="GX155" s="21"/>
      <c r="GY155" s="21"/>
      <c r="GZ155" s="21"/>
      <c r="HA155" s="21"/>
      <c r="HB155" s="21"/>
      <c r="HC155" s="21"/>
      <c r="HD155" s="21"/>
      <c r="HE155" s="21"/>
      <c r="HF155" s="21"/>
      <c r="HG155" s="21"/>
      <c r="HH155" s="21"/>
      <c r="HI155" s="21"/>
      <c r="HJ155" s="21"/>
      <c r="HK155" s="21"/>
      <c r="HL155" s="21"/>
      <c r="HM155" s="21"/>
      <c r="HN155" s="21"/>
      <c r="HO155" s="21"/>
      <c r="HP155" s="21"/>
      <c r="HQ155" s="21"/>
      <c r="HR155" s="21"/>
      <c r="HS155" s="21"/>
      <c r="HT155" s="21"/>
      <c r="HU155" s="21"/>
      <c r="HV155" s="21"/>
      <c r="HW155" s="21"/>
      <c r="HX155" s="21"/>
      <c r="HY155" s="21"/>
      <c r="HZ155" s="21"/>
      <c r="IA155" s="21"/>
      <c r="IB155" s="21"/>
      <c r="IC155" s="21"/>
      <c r="ID155" s="21"/>
      <c r="IE155" s="21"/>
      <c r="IF155" s="21"/>
      <c r="IG155" s="21"/>
      <c r="IH155" s="21"/>
      <c r="II155" s="21"/>
      <c r="IJ155" s="21"/>
      <c r="IK155" s="21"/>
      <c r="IL155" s="21"/>
      <c r="IM155" s="21"/>
      <c r="IN155" s="21"/>
      <c r="IO155" s="21"/>
      <c r="IP155" s="21"/>
      <c r="IQ155" s="21"/>
      <c r="IR155" s="21"/>
      <c r="IS155" s="21"/>
      <c r="IT155" s="21"/>
    </row>
    <row r="156" spans="1:254" s="2" customFormat="1" ht="24.75" customHeight="1">
      <c r="A156" s="11">
        <v>154</v>
      </c>
      <c r="B156" s="12" t="str">
        <f>"俞宏颖"</f>
        <v>俞宏颖</v>
      </c>
      <c r="C156" s="13" t="s">
        <v>12</v>
      </c>
      <c r="D156" s="13" t="str">
        <f>"230702100822"</f>
        <v>230702100822</v>
      </c>
      <c r="E156" s="18">
        <v>61.55</v>
      </c>
      <c r="F156" s="19" t="s">
        <v>10</v>
      </c>
      <c r="G156" s="19" t="s">
        <v>10</v>
      </c>
      <c r="H156" s="11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  <c r="GN156" s="20"/>
      <c r="GO156" s="20"/>
      <c r="GP156" s="20"/>
      <c r="GQ156" s="20"/>
      <c r="GR156" s="21"/>
      <c r="GS156" s="21"/>
      <c r="GT156" s="21"/>
      <c r="GU156" s="21"/>
      <c r="GV156" s="21"/>
      <c r="GW156" s="21"/>
      <c r="GX156" s="21"/>
      <c r="GY156" s="21"/>
      <c r="GZ156" s="21"/>
      <c r="HA156" s="21"/>
      <c r="HB156" s="21"/>
      <c r="HC156" s="21"/>
      <c r="HD156" s="21"/>
      <c r="HE156" s="21"/>
      <c r="HF156" s="21"/>
      <c r="HG156" s="21"/>
      <c r="HH156" s="21"/>
      <c r="HI156" s="21"/>
      <c r="HJ156" s="21"/>
      <c r="HK156" s="21"/>
      <c r="HL156" s="21"/>
      <c r="HM156" s="21"/>
      <c r="HN156" s="21"/>
      <c r="HO156" s="21"/>
      <c r="HP156" s="21"/>
      <c r="HQ156" s="21"/>
      <c r="HR156" s="21"/>
      <c r="HS156" s="21"/>
      <c r="HT156" s="21"/>
      <c r="HU156" s="21"/>
      <c r="HV156" s="21"/>
      <c r="HW156" s="21"/>
      <c r="HX156" s="21"/>
      <c r="HY156" s="21"/>
      <c r="HZ156" s="21"/>
      <c r="IA156" s="21"/>
      <c r="IB156" s="21"/>
      <c r="IC156" s="21"/>
      <c r="ID156" s="21"/>
      <c r="IE156" s="21"/>
      <c r="IF156" s="21"/>
      <c r="IG156" s="21"/>
      <c r="IH156" s="21"/>
      <c r="II156" s="21"/>
      <c r="IJ156" s="21"/>
      <c r="IK156" s="21"/>
      <c r="IL156" s="21"/>
      <c r="IM156" s="21"/>
      <c r="IN156" s="21"/>
      <c r="IO156" s="21"/>
      <c r="IP156" s="21"/>
      <c r="IQ156" s="21"/>
      <c r="IR156" s="21"/>
      <c r="IS156" s="21"/>
      <c r="IT156" s="21"/>
    </row>
    <row r="157" spans="1:254" s="2" customFormat="1" ht="24.75" customHeight="1">
      <c r="A157" s="11">
        <v>155</v>
      </c>
      <c r="B157" s="12" t="str">
        <f>"符珈境"</f>
        <v>符珈境</v>
      </c>
      <c r="C157" s="13" t="s">
        <v>12</v>
      </c>
      <c r="D157" s="13" t="str">
        <f>"230702102530"</f>
        <v>230702102530</v>
      </c>
      <c r="E157" s="18">
        <v>61.535</v>
      </c>
      <c r="F157" s="19" t="s">
        <v>10</v>
      </c>
      <c r="G157" s="19" t="s">
        <v>10</v>
      </c>
      <c r="H157" s="11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  <c r="GN157" s="20"/>
      <c r="GO157" s="20"/>
      <c r="GP157" s="20"/>
      <c r="GQ157" s="20"/>
      <c r="GR157" s="21"/>
      <c r="GS157" s="21"/>
      <c r="GT157" s="21"/>
      <c r="GU157" s="21"/>
      <c r="GV157" s="21"/>
      <c r="GW157" s="21"/>
      <c r="GX157" s="21"/>
      <c r="GY157" s="21"/>
      <c r="GZ157" s="21"/>
      <c r="HA157" s="21"/>
      <c r="HB157" s="21"/>
      <c r="HC157" s="21"/>
      <c r="HD157" s="21"/>
      <c r="HE157" s="21"/>
      <c r="HF157" s="21"/>
      <c r="HG157" s="21"/>
      <c r="HH157" s="21"/>
      <c r="HI157" s="21"/>
      <c r="HJ157" s="21"/>
      <c r="HK157" s="21"/>
      <c r="HL157" s="21"/>
      <c r="HM157" s="21"/>
      <c r="HN157" s="21"/>
      <c r="HO157" s="21"/>
      <c r="HP157" s="21"/>
      <c r="HQ157" s="21"/>
      <c r="HR157" s="21"/>
      <c r="HS157" s="21"/>
      <c r="HT157" s="21"/>
      <c r="HU157" s="21"/>
      <c r="HV157" s="21"/>
      <c r="HW157" s="21"/>
      <c r="HX157" s="21"/>
      <c r="HY157" s="21"/>
      <c r="HZ157" s="21"/>
      <c r="IA157" s="21"/>
      <c r="IB157" s="21"/>
      <c r="IC157" s="21"/>
      <c r="ID157" s="21"/>
      <c r="IE157" s="21"/>
      <c r="IF157" s="21"/>
      <c r="IG157" s="21"/>
      <c r="IH157" s="21"/>
      <c r="II157" s="21"/>
      <c r="IJ157" s="21"/>
      <c r="IK157" s="21"/>
      <c r="IL157" s="21"/>
      <c r="IM157" s="21"/>
      <c r="IN157" s="21"/>
      <c r="IO157" s="21"/>
      <c r="IP157" s="21"/>
      <c r="IQ157" s="21"/>
      <c r="IR157" s="21"/>
      <c r="IS157" s="21"/>
      <c r="IT157" s="21"/>
    </row>
    <row r="158" spans="1:254" s="2" customFormat="1" ht="24.75" customHeight="1">
      <c r="A158" s="11">
        <v>156</v>
      </c>
      <c r="B158" s="12" t="str">
        <f>"欧先茂"</f>
        <v>欧先茂</v>
      </c>
      <c r="C158" s="13" t="s">
        <v>12</v>
      </c>
      <c r="D158" s="13" t="str">
        <f>"230702102114"</f>
        <v>230702102114</v>
      </c>
      <c r="E158" s="18">
        <v>61.515</v>
      </c>
      <c r="F158" s="19" t="s">
        <v>10</v>
      </c>
      <c r="G158" s="19" t="s">
        <v>10</v>
      </c>
      <c r="H158" s="11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  <c r="GN158" s="20"/>
      <c r="GO158" s="20"/>
      <c r="GP158" s="20"/>
      <c r="GQ158" s="20"/>
      <c r="GR158" s="21"/>
      <c r="GS158" s="21"/>
      <c r="GT158" s="21"/>
      <c r="GU158" s="21"/>
      <c r="GV158" s="21"/>
      <c r="GW158" s="21"/>
      <c r="GX158" s="21"/>
      <c r="GY158" s="21"/>
      <c r="GZ158" s="21"/>
      <c r="HA158" s="21"/>
      <c r="HB158" s="21"/>
      <c r="HC158" s="21"/>
      <c r="HD158" s="21"/>
      <c r="HE158" s="21"/>
      <c r="HF158" s="21"/>
      <c r="HG158" s="21"/>
      <c r="HH158" s="21"/>
      <c r="HI158" s="21"/>
      <c r="HJ158" s="21"/>
      <c r="HK158" s="21"/>
      <c r="HL158" s="21"/>
      <c r="HM158" s="21"/>
      <c r="HN158" s="21"/>
      <c r="HO158" s="21"/>
      <c r="HP158" s="21"/>
      <c r="HQ158" s="21"/>
      <c r="HR158" s="21"/>
      <c r="HS158" s="21"/>
      <c r="HT158" s="21"/>
      <c r="HU158" s="21"/>
      <c r="HV158" s="21"/>
      <c r="HW158" s="21"/>
      <c r="HX158" s="21"/>
      <c r="HY158" s="21"/>
      <c r="HZ158" s="21"/>
      <c r="IA158" s="21"/>
      <c r="IB158" s="21"/>
      <c r="IC158" s="21"/>
      <c r="ID158" s="21"/>
      <c r="IE158" s="21"/>
      <c r="IF158" s="21"/>
      <c r="IG158" s="21"/>
      <c r="IH158" s="21"/>
      <c r="II158" s="21"/>
      <c r="IJ158" s="21"/>
      <c r="IK158" s="21"/>
      <c r="IL158" s="21"/>
      <c r="IM158" s="21"/>
      <c r="IN158" s="21"/>
      <c r="IO158" s="21"/>
      <c r="IP158" s="21"/>
      <c r="IQ158" s="21"/>
      <c r="IR158" s="21"/>
      <c r="IS158" s="21"/>
      <c r="IT158" s="21"/>
    </row>
    <row r="159" spans="1:254" s="2" customFormat="1" ht="24.75" customHeight="1">
      <c r="A159" s="11">
        <v>157</v>
      </c>
      <c r="B159" s="12" t="str">
        <f>"陈晓晨"</f>
        <v>陈晓晨</v>
      </c>
      <c r="C159" s="13" t="s">
        <v>12</v>
      </c>
      <c r="D159" s="13" t="str">
        <f>"230702102318"</f>
        <v>230702102318</v>
      </c>
      <c r="E159" s="18">
        <v>61.465</v>
      </c>
      <c r="F159" s="19" t="s">
        <v>10</v>
      </c>
      <c r="G159" s="19" t="s">
        <v>10</v>
      </c>
      <c r="H159" s="11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  <c r="GN159" s="20"/>
      <c r="GO159" s="20"/>
      <c r="GP159" s="20"/>
      <c r="GQ159" s="20"/>
      <c r="GR159" s="21"/>
      <c r="GS159" s="21"/>
      <c r="GT159" s="21"/>
      <c r="GU159" s="21"/>
      <c r="GV159" s="21"/>
      <c r="GW159" s="21"/>
      <c r="GX159" s="21"/>
      <c r="GY159" s="21"/>
      <c r="GZ159" s="21"/>
      <c r="HA159" s="21"/>
      <c r="HB159" s="21"/>
      <c r="HC159" s="21"/>
      <c r="HD159" s="21"/>
      <c r="HE159" s="21"/>
      <c r="HF159" s="21"/>
      <c r="HG159" s="21"/>
      <c r="HH159" s="21"/>
      <c r="HI159" s="21"/>
      <c r="HJ159" s="21"/>
      <c r="HK159" s="21"/>
      <c r="HL159" s="21"/>
      <c r="HM159" s="21"/>
      <c r="HN159" s="21"/>
      <c r="HO159" s="21"/>
      <c r="HP159" s="21"/>
      <c r="HQ159" s="21"/>
      <c r="HR159" s="21"/>
      <c r="HS159" s="21"/>
      <c r="HT159" s="21"/>
      <c r="HU159" s="21"/>
      <c r="HV159" s="21"/>
      <c r="HW159" s="21"/>
      <c r="HX159" s="21"/>
      <c r="HY159" s="21"/>
      <c r="HZ159" s="21"/>
      <c r="IA159" s="21"/>
      <c r="IB159" s="21"/>
      <c r="IC159" s="21"/>
      <c r="ID159" s="21"/>
      <c r="IE159" s="21"/>
      <c r="IF159" s="21"/>
      <c r="IG159" s="21"/>
      <c r="IH159" s="21"/>
      <c r="II159" s="21"/>
      <c r="IJ159" s="21"/>
      <c r="IK159" s="21"/>
      <c r="IL159" s="21"/>
      <c r="IM159" s="21"/>
      <c r="IN159" s="21"/>
      <c r="IO159" s="21"/>
      <c r="IP159" s="21"/>
      <c r="IQ159" s="21"/>
      <c r="IR159" s="21"/>
      <c r="IS159" s="21"/>
      <c r="IT159" s="21"/>
    </row>
    <row r="160" spans="1:254" s="2" customFormat="1" ht="24.75" customHeight="1">
      <c r="A160" s="11">
        <v>158</v>
      </c>
      <c r="B160" s="12" t="str">
        <f>"郑烨泽"</f>
        <v>郑烨泽</v>
      </c>
      <c r="C160" s="13" t="s">
        <v>12</v>
      </c>
      <c r="D160" s="13" t="str">
        <f>"230702101413"</f>
        <v>230702101413</v>
      </c>
      <c r="E160" s="18">
        <v>61.25</v>
      </c>
      <c r="F160" s="19" t="s">
        <v>10</v>
      </c>
      <c r="G160" s="19" t="s">
        <v>10</v>
      </c>
      <c r="H160" s="11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  <c r="GN160" s="20"/>
      <c r="GO160" s="20"/>
      <c r="GP160" s="20"/>
      <c r="GQ160" s="20"/>
      <c r="GR160" s="21"/>
      <c r="GS160" s="21"/>
      <c r="GT160" s="21"/>
      <c r="GU160" s="21"/>
      <c r="GV160" s="21"/>
      <c r="GW160" s="21"/>
      <c r="GX160" s="21"/>
      <c r="GY160" s="21"/>
      <c r="GZ160" s="21"/>
      <c r="HA160" s="21"/>
      <c r="HB160" s="21"/>
      <c r="HC160" s="21"/>
      <c r="HD160" s="21"/>
      <c r="HE160" s="21"/>
      <c r="HF160" s="21"/>
      <c r="HG160" s="21"/>
      <c r="HH160" s="21"/>
      <c r="HI160" s="21"/>
      <c r="HJ160" s="21"/>
      <c r="HK160" s="21"/>
      <c r="HL160" s="21"/>
      <c r="HM160" s="21"/>
      <c r="HN160" s="21"/>
      <c r="HO160" s="21"/>
      <c r="HP160" s="21"/>
      <c r="HQ160" s="21"/>
      <c r="HR160" s="21"/>
      <c r="HS160" s="21"/>
      <c r="HT160" s="21"/>
      <c r="HU160" s="21"/>
      <c r="HV160" s="21"/>
      <c r="HW160" s="21"/>
      <c r="HX160" s="21"/>
      <c r="HY160" s="21"/>
      <c r="HZ160" s="21"/>
      <c r="IA160" s="21"/>
      <c r="IB160" s="21"/>
      <c r="IC160" s="21"/>
      <c r="ID160" s="21"/>
      <c r="IE160" s="21"/>
      <c r="IF160" s="21"/>
      <c r="IG160" s="21"/>
      <c r="IH160" s="21"/>
      <c r="II160" s="21"/>
      <c r="IJ160" s="21"/>
      <c r="IK160" s="21"/>
      <c r="IL160" s="21"/>
      <c r="IM160" s="21"/>
      <c r="IN160" s="21"/>
      <c r="IO160" s="21"/>
      <c r="IP160" s="21"/>
      <c r="IQ160" s="21"/>
      <c r="IR160" s="21"/>
      <c r="IS160" s="21"/>
      <c r="IT160" s="21"/>
    </row>
    <row r="161" spans="1:254" s="2" customFormat="1" ht="24.75" customHeight="1">
      <c r="A161" s="11">
        <v>159</v>
      </c>
      <c r="B161" s="12" t="str">
        <f>"吴明孙"</f>
        <v>吴明孙</v>
      </c>
      <c r="C161" s="13" t="s">
        <v>12</v>
      </c>
      <c r="D161" s="13" t="str">
        <f>"230702103413"</f>
        <v>230702103413</v>
      </c>
      <c r="E161" s="18">
        <v>61.235</v>
      </c>
      <c r="F161" s="19" t="s">
        <v>10</v>
      </c>
      <c r="G161" s="19" t="s">
        <v>10</v>
      </c>
      <c r="H161" s="11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  <c r="GN161" s="20"/>
      <c r="GO161" s="20"/>
      <c r="GP161" s="20"/>
      <c r="GQ161" s="20"/>
      <c r="GR161" s="21"/>
      <c r="GS161" s="21"/>
      <c r="GT161" s="21"/>
      <c r="GU161" s="21"/>
      <c r="GV161" s="21"/>
      <c r="GW161" s="21"/>
      <c r="GX161" s="21"/>
      <c r="GY161" s="21"/>
      <c r="GZ161" s="21"/>
      <c r="HA161" s="21"/>
      <c r="HB161" s="21"/>
      <c r="HC161" s="21"/>
      <c r="HD161" s="21"/>
      <c r="HE161" s="21"/>
      <c r="HF161" s="21"/>
      <c r="HG161" s="21"/>
      <c r="HH161" s="21"/>
      <c r="HI161" s="21"/>
      <c r="HJ161" s="21"/>
      <c r="HK161" s="21"/>
      <c r="HL161" s="21"/>
      <c r="HM161" s="21"/>
      <c r="HN161" s="21"/>
      <c r="HO161" s="21"/>
      <c r="HP161" s="21"/>
      <c r="HQ161" s="21"/>
      <c r="HR161" s="21"/>
      <c r="HS161" s="21"/>
      <c r="HT161" s="21"/>
      <c r="HU161" s="21"/>
      <c r="HV161" s="21"/>
      <c r="HW161" s="21"/>
      <c r="HX161" s="21"/>
      <c r="HY161" s="21"/>
      <c r="HZ161" s="21"/>
      <c r="IA161" s="21"/>
      <c r="IB161" s="21"/>
      <c r="IC161" s="21"/>
      <c r="ID161" s="21"/>
      <c r="IE161" s="21"/>
      <c r="IF161" s="21"/>
      <c r="IG161" s="21"/>
      <c r="IH161" s="21"/>
      <c r="II161" s="21"/>
      <c r="IJ161" s="21"/>
      <c r="IK161" s="21"/>
      <c r="IL161" s="21"/>
      <c r="IM161" s="21"/>
      <c r="IN161" s="21"/>
      <c r="IO161" s="21"/>
      <c r="IP161" s="21"/>
      <c r="IQ161" s="21"/>
      <c r="IR161" s="21"/>
      <c r="IS161" s="21"/>
      <c r="IT161" s="21"/>
    </row>
    <row r="162" spans="1:254" s="2" customFormat="1" ht="24.75" customHeight="1">
      <c r="A162" s="11">
        <v>160</v>
      </c>
      <c r="B162" s="12" t="str">
        <f>"陈玉雄"</f>
        <v>陈玉雄</v>
      </c>
      <c r="C162" s="13" t="s">
        <v>12</v>
      </c>
      <c r="D162" s="13" t="str">
        <f>"230702101124"</f>
        <v>230702101124</v>
      </c>
      <c r="E162" s="18">
        <v>61.165</v>
      </c>
      <c r="F162" s="19" t="s">
        <v>10</v>
      </c>
      <c r="G162" s="19" t="s">
        <v>10</v>
      </c>
      <c r="H162" s="11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  <c r="GN162" s="20"/>
      <c r="GO162" s="20"/>
      <c r="GP162" s="20"/>
      <c r="GQ162" s="20"/>
      <c r="GR162" s="21"/>
      <c r="GS162" s="21"/>
      <c r="GT162" s="21"/>
      <c r="GU162" s="21"/>
      <c r="GV162" s="21"/>
      <c r="GW162" s="21"/>
      <c r="GX162" s="21"/>
      <c r="GY162" s="21"/>
      <c r="GZ162" s="21"/>
      <c r="HA162" s="21"/>
      <c r="HB162" s="21"/>
      <c r="HC162" s="21"/>
      <c r="HD162" s="21"/>
      <c r="HE162" s="21"/>
      <c r="HF162" s="21"/>
      <c r="HG162" s="21"/>
      <c r="HH162" s="21"/>
      <c r="HI162" s="21"/>
      <c r="HJ162" s="21"/>
      <c r="HK162" s="21"/>
      <c r="HL162" s="21"/>
      <c r="HM162" s="21"/>
      <c r="HN162" s="21"/>
      <c r="HO162" s="21"/>
      <c r="HP162" s="21"/>
      <c r="HQ162" s="21"/>
      <c r="HR162" s="21"/>
      <c r="HS162" s="21"/>
      <c r="HT162" s="21"/>
      <c r="HU162" s="21"/>
      <c r="HV162" s="21"/>
      <c r="HW162" s="21"/>
      <c r="HX162" s="21"/>
      <c r="HY162" s="21"/>
      <c r="HZ162" s="21"/>
      <c r="IA162" s="21"/>
      <c r="IB162" s="21"/>
      <c r="IC162" s="21"/>
      <c r="ID162" s="21"/>
      <c r="IE162" s="21"/>
      <c r="IF162" s="21"/>
      <c r="IG162" s="21"/>
      <c r="IH162" s="21"/>
      <c r="II162" s="21"/>
      <c r="IJ162" s="21"/>
      <c r="IK162" s="21"/>
      <c r="IL162" s="21"/>
      <c r="IM162" s="21"/>
      <c r="IN162" s="21"/>
      <c r="IO162" s="21"/>
      <c r="IP162" s="21"/>
      <c r="IQ162" s="21"/>
      <c r="IR162" s="21"/>
      <c r="IS162" s="21"/>
      <c r="IT162" s="21"/>
    </row>
    <row r="163" spans="1:254" s="2" customFormat="1" ht="24.75" customHeight="1">
      <c r="A163" s="11">
        <v>161</v>
      </c>
      <c r="B163" s="12" t="str">
        <f>"崔栩铭"</f>
        <v>崔栩铭</v>
      </c>
      <c r="C163" s="13" t="s">
        <v>12</v>
      </c>
      <c r="D163" s="13" t="str">
        <f>"230702103121"</f>
        <v>230702103121</v>
      </c>
      <c r="E163" s="18">
        <v>61.165</v>
      </c>
      <c r="F163" s="19" t="s">
        <v>10</v>
      </c>
      <c r="G163" s="19" t="s">
        <v>10</v>
      </c>
      <c r="H163" s="11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  <c r="GN163" s="20"/>
      <c r="GO163" s="20"/>
      <c r="GP163" s="20"/>
      <c r="GQ163" s="20"/>
      <c r="GR163" s="21"/>
      <c r="GS163" s="21"/>
      <c r="GT163" s="21"/>
      <c r="GU163" s="21"/>
      <c r="GV163" s="21"/>
      <c r="GW163" s="21"/>
      <c r="GX163" s="21"/>
      <c r="GY163" s="21"/>
      <c r="GZ163" s="21"/>
      <c r="HA163" s="21"/>
      <c r="HB163" s="21"/>
      <c r="HC163" s="21"/>
      <c r="HD163" s="21"/>
      <c r="HE163" s="21"/>
      <c r="HF163" s="21"/>
      <c r="HG163" s="21"/>
      <c r="HH163" s="21"/>
      <c r="HI163" s="21"/>
      <c r="HJ163" s="21"/>
      <c r="HK163" s="21"/>
      <c r="HL163" s="21"/>
      <c r="HM163" s="21"/>
      <c r="HN163" s="21"/>
      <c r="HO163" s="21"/>
      <c r="HP163" s="21"/>
      <c r="HQ163" s="21"/>
      <c r="HR163" s="21"/>
      <c r="HS163" s="21"/>
      <c r="HT163" s="21"/>
      <c r="HU163" s="21"/>
      <c r="HV163" s="21"/>
      <c r="HW163" s="21"/>
      <c r="HX163" s="21"/>
      <c r="HY163" s="21"/>
      <c r="HZ163" s="21"/>
      <c r="IA163" s="21"/>
      <c r="IB163" s="21"/>
      <c r="IC163" s="21"/>
      <c r="ID163" s="21"/>
      <c r="IE163" s="21"/>
      <c r="IF163" s="21"/>
      <c r="IG163" s="21"/>
      <c r="IH163" s="21"/>
      <c r="II163" s="21"/>
      <c r="IJ163" s="21"/>
      <c r="IK163" s="21"/>
      <c r="IL163" s="21"/>
      <c r="IM163" s="21"/>
      <c r="IN163" s="21"/>
      <c r="IO163" s="21"/>
      <c r="IP163" s="21"/>
      <c r="IQ163" s="21"/>
      <c r="IR163" s="21"/>
      <c r="IS163" s="21"/>
      <c r="IT163" s="21"/>
    </row>
    <row r="164" spans="1:254" s="2" customFormat="1" ht="24.75" customHeight="1">
      <c r="A164" s="11">
        <v>162</v>
      </c>
      <c r="B164" s="12" t="str">
        <f>"王开成"</f>
        <v>王开成</v>
      </c>
      <c r="C164" s="13" t="s">
        <v>12</v>
      </c>
      <c r="D164" s="13" t="str">
        <f>"230702101311"</f>
        <v>230702101311</v>
      </c>
      <c r="E164" s="18">
        <v>61.135</v>
      </c>
      <c r="F164" s="19" t="s">
        <v>10</v>
      </c>
      <c r="G164" s="19" t="s">
        <v>10</v>
      </c>
      <c r="H164" s="11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1"/>
      <c r="GS164" s="21"/>
      <c r="GT164" s="21"/>
      <c r="GU164" s="21"/>
      <c r="GV164" s="21"/>
      <c r="GW164" s="21"/>
      <c r="GX164" s="21"/>
      <c r="GY164" s="21"/>
      <c r="GZ164" s="21"/>
      <c r="HA164" s="21"/>
      <c r="HB164" s="21"/>
      <c r="HC164" s="21"/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  <c r="ID164" s="21"/>
      <c r="IE164" s="21"/>
      <c r="IF164" s="21"/>
      <c r="IG164" s="21"/>
      <c r="IH164" s="21"/>
      <c r="II164" s="21"/>
      <c r="IJ164" s="21"/>
      <c r="IK164" s="21"/>
      <c r="IL164" s="21"/>
      <c r="IM164" s="21"/>
      <c r="IN164" s="21"/>
      <c r="IO164" s="21"/>
      <c r="IP164" s="21"/>
      <c r="IQ164" s="21"/>
      <c r="IR164" s="21"/>
      <c r="IS164" s="21"/>
      <c r="IT164" s="21"/>
    </row>
    <row r="165" spans="1:254" s="2" customFormat="1" ht="24.75" customHeight="1">
      <c r="A165" s="11">
        <v>163</v>
      </c>
      <c r="B165" s="12" t="str">
        <f>"朱允法"</f>
        <v>朱允法</v>
      </c>
      <c r="C165" s="13" t="s">
        <v>12</v>
      </c>
      <c r="D165" s="13" t="str">
        <f>"230702101503"</f>
        <v>230702101503</v>
      </c>
      <c r="E165" s="18">
        <v>61.015</v>
      </c>
      <c r="F165" s="19" t="s">
        <v>10</v>
      </c>
      <c r="G165" s="19" t="s">
        <v>10</v>
      </c>
      <c r="H165" s="11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  <c r="GQ165" s="20"/>
      <c r="GR165" s="21"/>
      <c r="GS165" s="21"/>
      <c r="GT165" s="21"/>
      <c r="GU165" s="21"/>
      <c r="GV165" s="21"/>
      <c r="GW165" s="21"/>
      <c r="GX165" s="21"/>
      <c r="GY165" s="21"/>
      <c r="GZ165" s="21"/>
      <c r="HA165" s="21"/>
      <c r="HB165" s="21"/>
      <c r="HC165" s="21"/>
      <c r="HD165" s="21"/>
      <c r="HE165" s="21"/>
      <c r="HF165" s="21"/>
      <c r="HG165" s="21"/>
      <c r="HH165" s="21"/>
      <c r="HI165" s="21"/>
      <c r="HJ165" s="21"/>
      <c r="HK165" s="21"/>
      <c r="HL165" s="21"/>
      <c r="HM165" s="21"/>
      <c r="HN165" s="21"/>
      <c r="HO165" s="21"/>
      <c r="HP165" s="21"/>
      <c r="HQ165" s="21"/>
      <c r="HR165" s="21"/>
      <c r="HS165" s="21"/>
      <c r="HT165" s="21"/>
      <c r="HU165" s="21"/>
      <c r="HV165" s="21"/>
      <c r="HW165" s="21"/>
      <c r="HX165" s="21"/>
      <c r="HY165" s="21"/>
      <c r="HZ165" s="21"/>
      <c r="IA165" s="21"/>
      <c r="IB165" s="21"/>
      <c r="IC165" s="21"/>
      <c r="ID165" s="21"/>
      <c r="IE165" s="21"/>
      <c r="IF165" s="21"/>
      <c r="IG165" s="21"/>
      <c r="IH165" s="21"/>
      <c r="II165" s="21"/>
      <c r="IJ165" s="21"/>
      <c r="IK165" s="21"/>
      <c r="IL165" s="21"/>
      <c r="IM165" s="21"/>
      <c r="IN165" s="21"/>
      <c r="IO165" s="21"/>
      <c r="IP165" s="21"/>
      <c r="IQ165" s="21"/>
      <c r="IR165" s="21"/>
      <c r="IS165" s="21"/>
      <c r="IT165" s="21"/>
    </row>
    <row r="166" spans="1:254" s="2" customFormat="1" ht="24.75" customHeight="1">
      <c r="A166" s="11">
        <v>164</v>
      </c>
      <c r="B166" s="12" t="str">
        <f>"谭清华"</f>
        <v>谭清华</v>
      </c>
      <c r="C166" s="13" t="s">
        <v>12</v>
      </c>
      <c r="D166" s="13" t="str">
        <f>"230702101508"</f>
        <v>230702101508</v>
      </c>
      <c r="E166" s="18">
        <v>60.965</v>
      </c>
      <c r="F166" s="19" t="s">
        <v>10</v>
      </c>
      <c r="G166" s="19" t="s">
        <v>10</v>
      </c>
      <c r="H166" s="11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  <c r="GN166" s="20"/>
      <c r="GO166" s="20"/>
      <c r="GP166" s="20"/>
      <c r="GQ166" s="20"/>
      <c r="GR166" s="21"/>
      <c r="GS166" s="21"/>
      <c r="GT166" s="21"/>
      <c r="GU166" s="21"/>
      <c r="GV166" s="21"/>
      <c r="GW166" s="21"/>
      <c r="GX166" s="21"/>
      <c r="GY166" s="21"/>
      <c r="GZ166" s="21"/>
      <c r="HA166" s="21"/>
      <c r="HB166" s="21"/>
      <c r="HC166" s="21"/>
      <c r="HD166" s="21"/>
      <c r="HE166" s="21"/>
      <c r="HF166" s="21"/>
      <c r="HG166" s="21"/>
      <c r="HH166" s="21"/>
      <c r="HI166" s="21"/>
      <c r="HJ166" s="21"/>
      <c r="HK166" s="21"/>
      <c r="HL166" s="21"/>
      <c r="HM166" s="21"/>
      <c r="HN166" s="21"/>
      <c r="HO166" s="21"/>
      <c r="HP166" s="21"/>
      <c r="HQ166" s="21"/>
      <c r="HR166" s="21"/>
      <c r="HS166" s="21"/>
      <c r="HT166" s="21"/>
      <c r="HU166" s="21"/>
      <c r="HV166" s="21"/>
      <c r="HW166" s="21"/>
      <c r="HX166" s="21"/>
      <c r="HY166" s="21"/>
      <c r="HZ166" s="21"/>
      <c r="IA166" s="21"/>
      <c r="IB166" s="21"/>
      <c r="IC166" s="21"/>
      <c r="ID166" s="21"/>
      <c r="IE166" s="21"/>
      <c r="IF166" s="21"/>
      <c r="IG166" s="21"/>
      <c r="IH166" s="21"/>
      <c r="II166" s="21"/>
      <c r="IJ166" s="21"/>
      <c r="IK166" s="21"/>
      <c r="IL166" s="21"/>
      <c r="IM166" s="21"/>
      <c r="IN166" s="21"/>
      <c r="IO166" s="21"/>
      <c r="IP166" s="21"/>
      <c r="IQ166" s="21"/>
      <c r="IR166" s="21"/>
      <c r="IS166" s="21"/>
      <c r="IT166" s="21"/>
    </row>
    <row r="167" spans="1:254" s="2" customFormat="1" ht="24.75" customHeight="1">
      <c r="A167" s="11">
        <v>165</v>
      </c>
      <c r="B167" s="12" t="str">
        <f>"李拔玉"</f>
        <v>李拔玉</v>
      </c>
      <c r="C167" s="13" t="s">
        <v>12</v>
      </c>
      <c r="D167" s="13" t="str">
        <f>"230702102127"</f>
        <v>230702102127</v>
      </c>
      <c r="E167" s="18">
        <v>60.965</v>
      </c>
      <c r="F167" s="19" t="s">
        <v>10</v>
      </c>
      <c r="G167" s="19" t="s">
        <v>10</v>
      </c>
      <c r="H167" s="11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  <c r="GN167" s="20"/>
      <c r="GO167" s="20"/>
      <c r="GP167" s="20"/>
      <c r="GQ167" s="20"/>
      <c r="GR167" s="21"/>
      <c r="GS167" s="21"/>
      <c r="GT167" s="21"/>
      <c r="GU167" s="21"/>
      <c r="GV167" s="21"/>
      <c r="GW167" s="21"/>
      <c r="GX167" s="21"/>
      <c r="GY167" s="21"/>
      <c r="GZ167" s="21"/>
      <c r="HA167" s="21"/>
      <c r="HB167" s="21"/>
      <c r="HC167" s="21"/>
      <c r="HD167" s="21"/>
      <c r="HE167" s="21"/>
      <c r="HF167" s="21"/>
      <c r="HG167" s="21"/>
      <c r="HH167" s="21"/>
      <c r="HI167" s="21"/>
      <c r="HJ167" s="21"/>
      <c r="HK167" s="21"/>
      <c r="HL167" s="21"/>
      <c r="HM167" s="21"/>
      <c r="HN167" s="21"/>
      <c r="HO167" s="21"/>
      <c r="HP167" s="21"/>
      <c r="HQ167" s="21"/>
      <c r="HR167" s="21"/>
      <c r="HS167" s="21"/>
      <c r="HT167" s="21"/>
      <c r="HU167" s="21"/>
      <c r="HV167" s="21"/>
      <c r="HW167" s="21"/>
      <c r="HX167" s="21"/>
      <c r="HY167" s="21"/>
      <c r="HZ167" s="21"/>
      <c r="IA167" s="21"/>
      <c r="IB167" s="21"/>
      <c r="IC167" s="21"/>
      <c r="ID167" s="21"/>
      <c r="IE167" s="21"/>
      <c r="IF167" s="21"/>
      <c r="IG167" s="21"/>
      <c r="IH167" s="21"/>
      <c r="II167" s="21"/>
      <c r="IJ167" s="21"/>
      <c r="IK167" s="21"/>
      <c r="IL167" s="21"/>
      <c r="IM167" s="21"/>
      <c r="IN167" s="21"/>
      <c r="IO167" s="21"/>
      <c r="IP167" s="21"/>
      <c r="IQ167" s="21"/>
      <c r="IR167" s="21"/>
      <c r="IS167" s="21"/>
      <c r="IT167" s="21"/>
    </row>
    <row r="168" spans="1:254" s="2" customFormat="1" ht="24.75" customHeight="1">
      <c r="A168" s="11">
        <v>166</v>
      </c>
      <c r="B168" s="12" t="str">
        <f>"王盛江"</f>
        <v>王盛江</v>
      </c>
      <c r="C168" s="13" t="s">
        <v>12</v>
      </c>
      <c r="D168" s="13" t="str">
        <f>"230702102908"</f>
        <v>230702102908</v>
      </c>
      <c r="E168" s="18">
        <v>60.935</v>
      </c>
      <c r="F168" s="19" t="s">
        <v>10</v>
      </c>
      <c r="G168" s="19" t="s">
        <v>10</v>
      </c>
      <c r="H168" s="11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  <c r="GN168" s="20"/>
      <c r="GO168" s="20"/>
      <c r="GP168" s="20"/>
      <c r="GQ168" s="20"/>
      <c r="GR168" s="21"/>
      <c r="GS168" s="21"/>
      <c r="GT168" s="21"/>
      <c r="GU168" s="21"/>
      <c r="GV168" s="21"/>
      <c r="GW168" s="21"/>
      <c r="GX168" s="21"/>
      <c r="GY168" s="21"/>
      <c r="GZ168" s="21"/>
      <c r="HA168" s="21"/>
      <c r="HB168" s="21"/>
      <c r="HC168" s="21"/>
      <c r="HD168" s="21"/>
      <c r="HE168" s="21"/>
      <c r="HF168" s="21"/>
      <c r="HG168" s="21"/>
      <c r="HH168" s="21"/>
      <c r="HI168" s="21"/>
      <c r="HJ168" s="21"/>
      <c r="HK168" s="21"/>
      <c r="HL168" s="21"/>
      <c r="HM168" s="21"/>
      <c r="HN168" s="21"/>
      <c r="HO168" s="21"/>
      <c r="HP168" s="21"/>
      <c r="HQ168" s="21"/>
      <c r="HR168" s="21"/>
      <c r="HS168" s="21"/>
      <c r="HT168" s="21"/>
      <c r="HU168" s="21"/>
      <c r="HV168" s="21"/>
      <c r="HW168" s="21"/>
      <c r="HX168" s="21"/>
      <c r="HY168" s="21"/>
      <c r="HZ168" s="21"/>
      <c r="IA168" s="21"/>
      <c r="IB168" s="21"/>
      <c r="IC168" s="21"/>
      <c r="ID168" s="21"/>
      <c r="IE168" s="21"/>
      <c r="IF168" s="21"/>
      <c r="IG168" s="21"/>
      <c r="IH168" s="21"/>
      <c r="II168" s="21"/>
      <c r="IJ168" s="21"/>
      <c r="IK168" s="21"/>
      <c r="IL168" s="21"/>
      <c r="IM168" s="21"/>
      <c r="IN168" s="21"/>
      <c r="IO168" s="21"/>
      <c r="IP168" s="21"/>
      <c r="IQ168" s="21"/>
      <c r="IR168" s="21"/>
      <c r="IS168" s="21"/>
      <c r="IT168" s="21"/>
    </row>
    <row r="169" spans="1:254" s="2" customFormat="1" ht="24.75" customHeight="1">
      <c r="A169" s="11">
        <v>167</v>
      </c>
      <c r="B169" s="12" t="str">
        <f>"符旺森"</f>
        <v>符旺森</v>
      </c>
      <c r="C169" s="13" t="s">
        <v>12</v>
      </c>
      <c r="D169" s="13" t="str">
        <f>"230702102425"</f>
        <v>230702102425</v>
      </c>
      <c r="E169" s="18">
        <v>60.75</v>
      </c>
      <c r="F169" s="19" t="s">
        <v>10</v>
      </c>
      <c r="G169" s="19" t="s">
        <v>10</v>
      </c>
      <c r="H169" s="11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  <c r="GN169" s="20"/>
      <c r="GO169" s="20"/>
      <c r="GP169" s="20"/>
      <c r="GQ169" s="20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  <c r="IL169" s="21"/>
      <c r="IM169" s="21"/>
      <c r="IN169" s="21"/>
      <c r="IO169" s="21"/>
      <c r="IP169" s="21"/>
      <c r="IQ169" s="21"/>
      <c r="IR169" s="21"/>
      <c r="IS169" s="21"/>
      <c r="IT169" s="21"/>
    </row>
    <row r="170" spans="1:254" s="2" customFormat="1" ht="24.75" customHeight="1">
      <c r="A170" s="11">
        <v>168</v>
      </c>
      <c r="B170" s="12" t="str">
        <f>"羊造烈"</f>
        <v>羊造烈</v>
      </c>
      <c r="C170" s="13" t="s">
        <v>12</v>
      </c>
      <c r="D170" s="13" t="str">
        <f>"230702102121"</f>
        <v>230702102121</v>
      </c>
      <c r="E170" s="18">
        <v>60.75</v>
      </c>
      <c r="F170" s="19" t="s">
        <v>10</v>
      </c>
      <c r="G170" s="19" t="s">
        <v>10</v>
      </c>
      <c r="H170" s="11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  <c r="GN170" s="20"/>
      <c r="GO170" s="20"/>
      <c r="GP170" s="20"/>
      <c r="GQ170" s="20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/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21"/>
      <c r="HZ170" s="21"/>
      <c r="IA170" s="21"/>
      <c r="IB170" s="21"/>
      <c r="IC170" s="21"/>
      <c r="ID170" s="21"/>
      <c r="IE170" s="21"/>
      <c r="IF170" s="21"/>
      <c r="IG170" s="21"/>
      <c r="IH170" s="21"/>
      <c r="II170" s="21"/>
      <c r="IJ170" s="21"/>
      <c r="IK170" s="21"/>
      <c r="IL170" s="21"/>
      <c r="IM170" s="21"/>
      <c r="IN170" s="21"/>
      <c r="IO170" s="21"/>
      <c r="IP170" s="21"/>
      <c r="IQ170" s="21"/>
      <c r="IR170" s="21"/>
      <c r="IS170" s="21"/>
      <c r="IT170" s="21"/>
    </row>
    <row r="171" spans="1:254" s="2" customFormat="1" ht="24.75" customHeight="1">
      <c r="A171" s="11">
        <v>169</v>
      </c>
      <c r="B171" s="12" t="str">
        <f>"林成典"</f>
        <v>林成典</v>
      </c>
      <c r="C171" s="13" t="s">
        <v>12</v>
      </c>
      <c r="D171" s="13" t="str">
        <f>"230702102806"</f>
        <v>230702102806</v>
      </c>
      <c r="E171" s="18">
        <v>60.685</v>
      </c>
      <c r="F171" s="19" t="s">
        <v>10</v>
      </c>
      <c r="G171" s="19" t="s">
        <v>10</v>
      </c>
      <c r="H171" s="11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  <c r="GN171" s="20"/>
      <c r="GO171" s="20"/>
      <c r="GP171" s="20"/>
      <c r="GQ171" s="20"/>
      <c r="GR171" s="21"/>
      <c r="GS171" s="21"/>
      <c r="GT171" s="21"/>
      <c r="GU171" s="21"/>
      <c r="GV171" s="21"/>
      <c r="GW171" s="21"/>
      <c r="GX171" s="21"/>
      <c r="GY171" s="21"/>
      <c r="GZ171" s="21"/>
      <c r="HA171" s="21"/>
      <c r="HB171" s="21"/>
      <c r="HC171" s="21"/>
      <c r="HD171" s="21"/>
      <c r="HE171" s="21"/>
      <c r="HF171" s="21"/>
      <c r="HG171" s="21"/>
      <c r="HH171" s="21"/>
      <c r="HI171" s="21"/>
      <c r="HJ171" s="21"/>
      <c r="HK171" s="21"/>
      <c r="HL171" s="21"/>
      <c r="HM171" s="21"/>
      <c r="HN171" s="21"/>
      <c r="HO171" s="21"/>
      <c r="HP171" s="21"/>
      <c r="HQ171" s="21"/>
      <c r="HR171" s="21"/>
      <c r="HS171" s="21"/>
      <c r="HT171" s="21"/>
      <c r="HU171" s="21"/>
      <c r="HV171" s="21"/>
      <c r="HW171" s="21"/>
      <c r="HX171" s="21"/>
      <c r="HY171" s="21"/>
      <c r="HZ171" s="21"/>
      <c r="IA171" s="21"/>
      <c r="IB171" s="21"/>
      <c r="IC171" s="21"/>
      <c r="ID171" s="21"/>
      <c r="IE171" s="21"/>
      <c r="IF171" s="21"/>
      <c r="IG171" s="21"/>
      <c r="IH171" s="21"/>
      <c r="II171" s="21"/>
      <c r="IJ171" s="21"/>
      <c r="IK171" s="21"/>
      <c r="IL171" s="21"/>
      <c r="IM171" s="21"/>
      <c r="IN171" s="21"/>
      <c r="IO171" s="21"/>
      <c r="IP171" s="21"/>
      <c r="IQ171" s="21"/>
      <c r="IR171" s="21"/>
      <c r="IS171" s="21"/>
      <c r="IT171" s="21"/>
    </row>
    <row r="172" spans="1:254" s="2" customFormat="1" ht="24.75" customHeight="1">
      <c r="A172" s="11">
        <v>170</v>
      </c>
      <c r="B172" s="12" t="str">
        <f>"冯成"</f>
        <v>冯成</v>
      </c>
      <c r="C172" s="13" t="s">
        <v>12</v>
      </c>
      <c r="D172" s="13" t="str">
        <f>"230702101822"</f>
        <v>230702101822</v>
      </c>
      <c r="E172" s="18">
        <v>60.65</v>
      </c>
      <c r="F172" s="19" t="s">
        <v>10</v>
      </c>
      <c r="G172" s="19" t="s">
        <v>10</v>
      </c>
      <c r="H172" s="11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1"/>
      <c r="GS172" s="21"/>
      <c r="GT172" s="21"/>
      <c r="GU172" s="21"/>
      <c r="GV172" s="21"/>
      <c r="GW172" s="21"/>
      <c r="GX172" s="21"/>
      <c r="GY172" s="21"/>
      <c r="GZ172" s="21"/>
      <c r="HA172" s="21"/>
      <c r="HB172" s="21"/>
      <c r="HC172" s="21"/>
      <c r="HD172" s="21"/>
      <c r="HE172" s="21"/>
      <c r="HF172" s="21"/>
      <c r="HG172" s="21"/>
      <c r="HH172" s="21"/>
      <c r="HI172" s="21"/>
      <c r="HJ172" s="21"/>
      <c r="HK172" s="21"/>
      <c r="HL172" s="21"/>
      <c r="HM172" s="21"/>
      <c r="HN172" s="21"/>
      <c r="HO172" s="21"/>
      <c r="HP172" s="21"/>
      <c r="HQ172" s="21"/>
      <c r="HR172" s="21"/>
      <c r="HS172" s="21"/>
      <c r="HT172" s="21"/>
      <c r="HU172" s="21"/>
      <c r="HV172" s="21"/>
      <c r="HW172" s="21"/>
      <c r="HX172" s="21"/>
      <c r="HY172" s="21"/>
      <c r="HZ172" s="21"/>
      <c r="IA172" s="21"/>
      <c r="IB172" s="21"/>
      <c r="IC172" s="21"/>
      <c r="ID172" s="21"/>
      <c r="IE172" s="21"/>
      <c r="IF172" s="21"/>
      <c r="IG172" s="21"/>
      <c r="IH172" s="21"/>
      <c r="II172" s="21"/>
      <c r="IJ172" s="21"/>
      <c r="IK172" s="21"/>
      <c r="IL172" s="21"/>
      <c r="IM172" s="21"/>
      <c r="IN172" s="21"/>
      <c r="IO172" s="21"/>
      <c r="IP172" s="21"/>
      <c r="IQ172" s="21"/>
      <c r="IR172" s="21"/>
      <c r="IS172" s="21"/>
      <c r="IT172" s="21"/>
    </row>
    <row r="173" spans="1:254" s="2" customFormat="1" ht="24.75" customHeight="1">
      <c r="A173" s="11">
        <v>171</v>
      </c>
      <c r="B173" s="12" t="str">
        <f>"吴英盖"</f>
        <v>吴英盖</v>
      </c>
      <c r="C173" s="13" t="s">
        <v>12</v>
      </c>
      <c r="D173" s="13" t="str">
        <f>"230702101901"</f>
        <v>230702101901</v>
      </c>
      <c r="E173" s="18">
        <v>60.385</v>
      </c>
      <c r="F173" s="19" t="s">
        <v>10</v>
      </c>
      <c r="G173" s="19" t="s">
        <v>10</v>
      </c>
      <c r="H173" s="11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  <c r="GN173" s="20"/>
      <c r="GO173" s="20"/>
      <c r="GP173" s="20"/>
      <c r="GQ173" s="20"/>
      <c r="GR173" s="21"/>
      <c r="GS173" s="21"/>
      <c r="GT173" s="21"/>
      <c r="GU173" s="21"/>
      <c r="GV173" s="21"/>
      <c r="GW173" s="21"/>
      <c r="GX173" s="21"/>
      <c r="GY173" s="21"/>
      <c r="GZ173" s="21"/>
      <c r="HA173" s="21"/>
      <c r="HB173" s="21"/>
      <c r="HC173" s="21"/>
      <c r="HD173" s="21"/>
      <c r="HE173" s="21"/>
      <c r="HF173" s="21"/>
      <c r="HG173" s="21"/>
      <c r="HH173" s="21"/>
      <c r="HI173" s="21"/>
      <c r="HJ173" s="21"/>
      <c r="HK173" s="21"/>
      <c r="HL173" s="21"/>
      <c r="HM173" s="21"/>
      <c r="HN173" s="21"/>
      <c r="HO173" s="21"/>
      <c r="HP173" s="21"/>
      <c r="HQ173" s="21"/>
      <c r="HR173" s="21"/>
      <c r="HS173" s="21"/>
      <c r="HT173" s="21"/>
      <c r="HU173" s="21"/>
      <c r="HV173" s="21"/>
      <c r="HW173" s="21"/>
      <c r="HX173" s="21"/>
      <c r="HY173" s="21"/>
      <c r="HZ173" s="21"/>
      <c r="IA173" s="21"/>
      <c r="IB173" s="21"/>
      <c r="IC173" s="21"/>
      <c r="ID173" s="21"/>
      <c r="IE173" s="21"/>
      <c r="IF173" s="21"/>
      <c r="IG173" s="21"/>
      <c r="IH173" s="21"/>
      <c r="II173" s="21"/>
      <c r="IJ173" s="21"/>
      <c r="IK173" s="21"/>
      <c r="IL173" s="21"/>
      <c r="IM173" s="21"/>
      <c r="IN173" s="21"/>
      <c r="IO173" s="21"/>
      <c r="IP173" s="21"/>
      <c r="IQ173" s="21"/>
      <c r="IR173" s="21"/>
      <c r="IS173" s="21"/>
      <c r="IT173" s="21"/>
    </row>
    <row r="174" spans="1:254" s="2" customFormat="1" ht="24.75" customHeight="1">
      <c r="A174" s="11">
        <v>172</v>
      </c>
      <c r="B174" s="12" t="str">
        <f>"蔡开睿"</f>
        <v>蔡开睿</v>
      </c>
      <c r="C174" s="13" t="s">
        <v>12</v>
      </c>
      <c r="D174" s="13" t="str">
        <f>"230702102915"</f>
        <v>230702102915</v>
      </c>
      <c r="E174" s="18">
        <v>60.385</v>
      </c>
      <c r="F174" s="19" t="s">
        <v>10</v>
      </c>
      <c r="G174" s="19" t="s">
        <v>10</v>
      </c>
      <c r="H174" s="11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  <c r="GN174" s="20"/>
      <c r="GO174" s="20"/>
      <c r="GP174" s="20"/>
      <c r="GQ174" s="20"/>
      <c r="GR174" s="21"/>
      <c r="GS174" s="21"/>
      <c r="GT174" s="21"/>
      <c r="GU174" s="21"/>
      <c r="GV174" s="21"/>
      <c r="GW174" s="21"/>
      <c r="GX174" s="21"/>
      <c r="GY174" s="21"/>
      <c r="GZ174" s="21"/>
      <c r="HA174" s="21"/>
      <c r="HB174" s="21"/>
      <c r="HC174" s="21"/>
      <c r="HD174" s="21"/>
      <c r="HE174" s="21"/>
      <c r="HF174" s="21"/>
      <c r="HG174" s="21"/>
      <c r="HH174" s="21"/>
      <c r="HI174" s="21"/>
      <c r="HJ174" s="21"/>
      <c r="HK174" s="21"/>
      <c r="HL174" s="21"/>
      <c r="HM174" s="21"/>
      <c r="HN174" s="21"/>
      <c r="HO174" s="21"/>
      <c r="HP174" s="21"/>
      <c r="HQ174" s="21"/>
      <c r="HR174" s="21"/>
      <c r="HS174" s="21"/>
      <c r="HT174" s="21"/>
      <c r="HU174" s="21"/>
      <c r="HV174" s="21"/>
      <c r="HW174" s="21"/>
      <c r="HX174" s="21"/>
      <c r="HY174" s="21"/>
      <c r="HZ174" s="21"/>
      <c r="IA174" s="21"/>
      <c r="IB174" s="21"/>
      <c r="IC174" s="21"/>
      <c r="ID174" s="21"/>
      <c r="IE174" s="21"/>
      <c r="IF174" s="21"/>
      <c r="IG174" s="21"/>
      <c r="IH174" s="21"/>
      <c r="II174" s="21"/>
      <c r="IJ174" s="21"/>
      <c r="IK174" s="21"/>
      <c r="IL174" s="21"/>
      <c r="IM174" s="21"/>
      <c r="IN174" s="21"/>
      <c r="IO174" s="21"/>
      <c r="IP174" s="21"/>
      <c r="IQ174" s="21"/>
      <c r="IR174" s="21"/>
      <c r="IS174" s="21"/>
      <c r="IT174" s="21"/>
    </row>
    <row r="175" spans="1:254" s="2" customFormat="1" ht="24.75" customHeight="1">
      <c r="A175" s="11">
        <v>173</v>
      </c>
      <c r="B175" s="12" t="str">
        <f>"魏振岩"</f>
        <v>魏振岩</v>
      </c>
      <c r="C175" s="13" t="s">
        <v>12</v>
      </c>
      <c r="D175" s="13" t="str">
        <f>"230702102421"</f>
        <v>230702102421</v>
      </c>
      <c r="E175" s="18">
        <v>60.2</v>
      </c>
      <c r="F175" s="19" t="s">
        <v>10</v>
      </c>
      <c r="G175" s="19" t="s">
        <v>10</v>
      </c>
      <c r="H175" s="11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  <c r="GN175" s="20"/>
      <c r="GO175" s="20"/>
      <c r="GP175" s="20"/>
      <c r="GQ175" s="20"/>
      <c r="GR175" s="21"/>
      <c r="GS175" s="21"/>
      <c r="GT175" s="21"/>
      <c r="GU175" s="21"/>
      <c r="GV175" s="21"/>
      <c r="GW175" s="21"/>
      <c r="GX175" s="21"/>
      <c r="GY175" s="21"/>
      <c r="GZ175" s="21"/>
      <c r="HA175" s="21"/>
      <c r="HB175" s="21"/>
      <c r="HC175" s="21"/>
      <c r="HD175" s="21"/>
      <c r="HE175" s="21"/>
      <c r="HF175" s="21"/>
      <c r="HG175" s="21"/>
      <c r="HH175" s="21"/>
      <c r="HI175" s="21"/>
      <c r="HJ175" s="21"/>
      <c r="HK175" s="21"/>
      <c r="HL175" s="21"/>
      <c r="HM175" s="21"/>
      <c r="HN175" s="21"/>
      <c r="HO175" s="21"/>
      <c r="HP175" s="21"/>
      <c r="HQ175" s="21"/>
      <c r="HR175" s="21"/>
      <c r="HS175" s="21"/>
      <c r="HT175" s="21"/>
      <c r="HU175" s="21"/>
      <c r="HV175" s="21"/>
      <c r="HW175" s="21"/>
      <c r="HX175" s="21"/>
      <c r="HY175" s="21"/>
      <c r="HZ175" s="21"/>
      <c r="IA175" s="21"/>
      <c r="IB175" s="21"/>
      <c r="IC175" s="21"/>
      <c r="ID175" s="21"/>
      <c r="IE175" s="21"/>
      <c r="IF175" s="21"/>
      <c r="IG175" s="21"/>
      <c r="IH175" s="21"/>
      <c r="II175" s="21"/>
      <c r="IJ175" s="21"/>
      <c r="IK175" s="21"/>
      <c r="IL175" s="21"/>
      <c r="IM175" s="21"/>
      <c r="IN175" s="21"/>
      <c r="IO175" s="21"/>
      <c r="IP175" s="21"/>
      <c r="IQ175" s="21"/>
      <c r="IR175" s="21"/>
      <c r="IS175" s="21"/>
      <c r="IT175" s="21"/>
    </row>
    <row r="176" spans="1:254" s="2" customFormat="1" ht="24.75" customHeight="1">
      <c r="A176" s="11">
        <v>174</v>
      </c>
      <c r="B176" s="12" t="str">
        <f>"杨一山"</f>
        <v>杨一山</v>
      </c>
      <c r="C176" s="13" t="s">
        <v>12</v>
      </c>
      <c r="D176" s="13" t="str">
        <f>"230702101105"</f>
        <v>230702101105</v>
      </c>
      <c r="E176" s="18">
        <v>60.165</v>
      </c>
      <c r="F176" s="19" t="s">
        <v>10</v>
      </c>
      <c r="G176" s="19" t="s">
        <v>10</v>
      </c>
      <c r="H176" s="11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  <c r="GN176" s="20"/>
      <c r="GO176" s="20"/>
      <c r="GP176" s="20"/>
      <c r="GQ176" s="20"/>
      <c r="GR176" s="21"/>
      <c r="GS176" s="21"/>
      <c r="GT176" s="21"/>
      <c r="GU176" s="21"/>
      <c r="GV176" s="21"/>
      <c r="GW176" s="21"/>
      <c r="GX176" s="21"/>
      <c r="GY176" s="21"/>
      <c r="GZ176" s="21"/>
      <c r="HA176" s="21"/>
      <c r="HB176" s="21"/>
      <c r="HC176" s="21"/>
      <c r="HD176" s="21"/>
      <c r="HE176" s="21"/>
      <c r="HF176" s="21"/>
      <c r="HG176" s="21"/>
      <c r="HH176" s="21"/>
      <c r="HI176" s="21"/>
      <c r="HJ176" s="21"/>
      <c r="HK176" s="21"/>
      <c r="HL176" s="21"/>
      <c r="HM176" s="21"/>
      <c r="HN176" s="21"/>
      <c r="HO176" s="21"/>
      <c r="HP176" s="21"/>
      <c r="HQ176" s="21"/>
      <c r="HR176" s="21"/>
      <c r="HS176" s="21"/>
      <c r="HT176" s="21"/>
      <c r="HU176" s="21"/>
      <c r="HV176" s="21"/>
      <c r="HW176" s="21"/>
      <c r="HX176" s="21"/>
      <c r="HY176" s="21"/>
      <c r="HZ176" s="21"/>
      <c r="IA176" s="21"/>
      <c r="IB176" s="21"/>
      <c r="IC176" s="21"/>
      <c r="ID176" s="21"/>
      <c r="IE176" s="21"/>
      <c r="IF176" s="21"/>
      <c r="IG176" s="21"/>
      <c r="IH176" s="21"/>
      <c r="II176" s="21"/>
      <c r="IJ176" s="21"/>
      <c r="IK176" s="21"/>
      <c r="IL176" s="21"/>
      <c r="IM176" s="21"/>
      <c r="IN176" s="21"/>
      <c r="IO176" s="21"/>
      <c r="IP176" s="21"/>
      <c r="IQ176" s="21"/>
      <c r="IR176" s="21"/>
      <c r="IS176" s="21"/>
      <c r="IT176" s="21"/>
    </row>
    <row r="177" spans="1:254" s="2" customFormat="1" ht="24.75" customHeight="1">
      <c r="A177" s="11">
        <v>175</v>
      </c>
      <c r="B177" s="12" t="str">
        <f>"冯尔成"</f>
        <v>冯尔成</v>
      </c>
      <c r="C177" s="13" t="s">
        <v>12</v>
      </c>
      <c r="D177" s="13" t="str">
        <f>"230702103425"</f>
        <v>230702103425</v>
      </c>
      <c r="E177" s="18">
        <v>60.115</v>
      </c>
      <c r="F177" s="19" t="s">
        <v>10</v>
      </c>
      <c r="G177" s="19" t="s">
        <v>10</v>
      </c>
      <c r="H177" s="11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  <c r="GN177" s="20"/>
      <c r="GO177" s="20"/>
      <c r="GP177" s="20"/>
      <c r="GQ177" s="20"/>
      <c r="GR177" s="21"/>
      <c r="GS177" s="21"/>
      <c r="GT177" s="21"/>
      <c r="GU177" s="21"/>
      <c r="GV177" s="21"/>
      <c r="GW177" s="21"/>
      <c r="GX177" s="21"/>
      <c r="GY177" s="21"/>
      <c r="GZ177" s="21"/>
      <c r="HA177" s="21"/>
      <c r="HB177" s="21"/>
      <c r="HC177" s="21"/>
      <c r="HD177" s="21"/>
      <c r="HE177" s="21"/>
      <c r="HF177" s="21"/>
      <c r="HG177" s="21"/>
      <c r="HH177" s="21"/>
      <c r="HI177" s="21"/>
      <c r="HJ177" s="21"/>
      <c r="HK177" s="21"/>
      <c r="HL177" s="21"/>
      <c r="HM177" s="21"/>
      <c r="HN177" s="21"/>
      <c r="HO177" s="21"/>
      <c r="HP177" s="21"/>
      <c r="HQ177" s="21"/>
      <c r="HR177" s="21"/>
      <c r="HS177" s="21"/>
      <c r="HT177" s="21"/>
      <c r="HU177" s="21"/>
      <c r="HV177" s="21"/>
      <c r="HW177" s="21"/>
      <c r="HX177" s="21"/>
      <c r="HY177" s="21"/>
      <c r="HZ177" s="21"/>
      <c r="IA177" s="21"/>
      <c r="IB177" s="21"/>
      <c r="IC177" s="21"/>
      <c r="ID177" s="21"/>
      <c r="IE177" s="21"/>
      <c r="IF177" s="21"/>
      <c r="IG177" s="21"/>
      <c r="IH177" s="21"/>
      <c r="II177" s="21"/>
      <c r="IJ177" s="21"/>
      <c r="IK177" s="21"/>
      <c r="IL177" s="21"/>
      <c r="IM177" s="21"/>
      <c r="IN177" s="21"/>
      <c r="IO177" s="21"/>
      <c r="IP177" s="21"/>
      <c r="IQ177" s="21"/>
      <c r="IR177" s="21"/>
      <c r="IS177" s="21"/>
      <c r="IT177" s="21"/>
    </row>
    <row r="178" spans="1:254" s="2" customFormat="1" ht="24.75" customHeight="1">
      <c r="A178" s="11">
        <v>176</v>
      </c>
      <c r="B178" s="12" t="str">
        <f>"黄宗宏"</f>
        <v>黄宗宏</v>
      </c>
      <c r="C178" s="13" t="s">
        <v>12</v>
      </c>
      <c r="D178" s="13" t="str">
        <f>"230702102718"</f>
        <v>230702102718</v>
      </c>
      <c r="E178" s="18">
        <v>60.1</v>
      </c>
      <c r="F178" s="19" t="s">
        <v>10</v>
      </c>
      <c r="G178" s="19" t="s">
        <v>10</v>
      </c>
      <c r="H178" s="11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  <c r="GN178" s="20"/>
      <c r="GO178" s="20"/>
      <c r="GP178" s="20"/>
      <c r="GQ178" s="20"/>
      <c r="GR178" s="21"/>
      <c r="GS178" s="21"/>
      <c r="GT178" s="21"/>
      <c r="GU178" s="21"/>
      <c r="GV178" s="21"/>
      <c r="GW178" s="21"/>
      <c r="GX178" s="21"/>
      <c r="GY178" s="21"/>
      <c r="GZ178" s="21"/>
      <c r="HA178" s="21"/>
      <c r="HB178" s="21"/>
      <c r="HC178" s="21"/>
      <c r="HD178" s="21"/>
      <c r="HE178" s="21"/>
      <c r="HF178" s="21"/>
      <c r="HG178" s="21"/>
      <c r="HH178" s="21"/>
      <c r="HI178" s="21"/>
      <c r="HJ178" s="21"/>
      <c r="HK178" s="21"/>
      <c r="HL178" s="21"/>
      <c r="HM178" s="21"/>
      <c r="HN178" s="21"/>
      <c r="HO178" s="21"/>
      <c r="HP178" s="21"/>
      <c r="HQ178" s="21"/>
      <c r="HR178" s="21"/>
      <c r="HS178" s="21"/>
      <c r="HT178" s="21"/>
      <c r="HU178" s="21"/>
      <c r="HV178" s="21"/>
      <c r="HW178" s="21"/>
      <c r="HX178" s="21"/>
      <c r="HY178" s="21"/>
      <c r="HZ178" s="21"/>
      <c r="IA178" s="21"/>
      <c r="IB178" s="21"/>
      <c r="IC178" s="21"/>
      <c r="ID178" s="21"/>
      <c r="IE178" s="21"/>
      <c r="IF178" s="21"/>
      <c r="IG178" s="21"/>
      <c r="IH178" s="21"/>
      <c r="II178" s="21"/>
      <c r="IJ178" s="21"/>
      <c r="IK178" s="21"/>
      <c r="IL178" s="21"/>
      <c r="IM178" s="21"/>
      <c r="IN178" s="21"/>
      <c r="IO178" s="21"/>
      <c r="IP178" s="21"/>
      <c r="IQ178" s="21"/>
      <c r="IR178" s="21"/>
      <c r="IS178" s="21"/>
      <c r="IT178" s="21"/>
    </row>
    <row r="179" spans="1:254" s="2" customFormat="1" ht="24.75" customHeight="1">
      <c r="A179" s="11">
        <v>177</v>
      </c>
      <c r="B179" s="12" t="str">
        <f>"李善阳"</f>
        <v>李善阳</v>
      </c>
      <c r="C179" s="13" t="s">
        <v>12</v>
      </c>
      <c r="D179" s="13" t="str">
        <f>"230702103407"</f>
        <v>230702103407</v>
      </c>
      <c r="E179" s="18">
        <v>60.085</v>
      </c>
      <c r="F179" s="19" t="s">
        <v>10</v>
      </c>
      <c r="G179" s="19" t="s">
        <v>10</v>
      </c>
      <c r="H179" s="11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  <c r="GN179" s="20"/>
      <c r="GO179" s="20"/>
      <c r="GP179" s="20"/>
      <c r="GQ179" s="20"/>
      <c r="GR179" s="21"/>
      <c r="GS179" s="21"/>
      <c r="GT179" s="21"/>
      <c r="GU179" s="21"/>
      <c r="GV179" s="21"/>
      <c r="GW179" s="21"/>
      <c r="GX179" s="21"/>
      <c r="GY179" s="21"/>
      <c r="GZ179" s="21"/>
      <c r="HA179" s="21"/>
      <c r="HB179" s="21"/>
      <c r="HC179" s="21"/>
      <c r="HD179" s="21"/>
      <c r="HE179" s="21"/>
      <c r="HF179" s="21"/>
      <c r="HG179" s="21"/>
      <c r="HH179" s="21"/>
      <c r="HI179" s="21"/>
      <c r="HJ179" s="21"/>
      <c r="HK179" s="21"/>
      <c r="HL179" s="21"/>
      <c r="HM179" s="21"/>
      <c r="HN179" s="21"/>
      <c r="HO179" s="21"/>
      <c r="HP179" s="21"/>
      <c r="HQ179" s="21"/>
      <c r="HR179" s="21"/>
      <c r="HS179" s="21"/>
      <c r="HT179" s="21"/>
      <c r="HU179" s="21"/>
      <c r="HV179" s="21"/>
      <c r="HW179" s="21"/>
      <c r="HX179" s="21"/>
      <c r="HY179" s="21"/>
      <c r="HZ179" s="21"/>
      <c r="IA179" s="21"/>
      <c r="IB179" s="21"/>
      <c r="IC179" s="21"/>
      <c r="ID179" s="21"/>
      <c r="IE179" s="21"/>
      <c r="IF179" s="21"/>
      <c r="IG179" s="21"/>
      <c r="IH179" s="21"/>
      <c r="II179" s="21"/>
      <c r="IJ179" s="21"/>
      <c r="IK179" s="21"/>
      <c r="IL179" s="21"/>
      <c r="IM179" s="21"/>
      <c r="IN179" s="21"/>
      <c r="IO179" s="21"/>
      <c r="IP179" s="21"/>
      <c r="IQ179" s="21"/>
      <c r="IR179" s="21"/>
      <c r="IS179" s="21"/>
      <c r="IT179" s="21"/>
    </row>
    <row r="180" spans="1:254" s="2" customFormat="1" ht="24.75" customHeight="1">
      <c r="A180" s="11">
        <v>178</v>
      </c>
      <c r="B180" s="12" t="str">
        <f>"李有敏"</f>
        <v>李有敏</v>
      </c>
      <c r="C180" s="13" t="s">
        <v>12</v>
      </c>
      <c r="D180" s="13" t="str">
        <f>"230702103523"</f>
        <v>230702103523</v>
      </c>
      <c r="E180" s="18">
        <v>60.035</v>
      </c>
      <c r="F180" s="19" t="s">
        <v>10</v>
      </c>
      <c r="G180" s="19" t="s">
        <v>10</v>
      </c>
      <c r="H180" s="11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  <c r="GN180" s="20"/>
      <c r="GO180" s="20"/>
      <c r="GP180" s="20"/>
      <c r="GQ180" s="20"/>
      <c r="GR180" s="21"/>
      <c r="GS180" s="21"/>
      <c r="GT180" s="21"/>
      <c r="GU180" s="21"/>
      <c r="GV180" s="21"/>
      <c r="GW180" s="21"/>
      <c r="GX180" s="21"/>
      <c r="GY180" s="21"/>
      <c r="GZ180" s="21"/>
      <c r="HA180" s="21"/>
      <c r="HB180" s="21"/>
      <c r="HC180" s="21"/>
      <c r="HD180" s="21"/>
      <c r="HE180" s="21"/>
      <c r="HF180" s="21"/>
      <c r="HG180" s="21"/>
      <c r="HH180" s="21"/>
      <c r="HI180" s="21"/>
      <c r="HJ180" s="21"/>
      <c r="HK180" s="21"/>
      <c r="HL180" s="21"/>
      <c r="HM180" s="21"/>
      <c r="HN180" s="21"/>
      <c r="HO180" s="21"/>
      <c r="HP180" s="21"/>
      <c r="HQ180" s="21"/>
      <c r="HR180" s="21"/>
      <c r="HS180" s="21"/>
      <c r="HT180" s="21"/>
      <c r="HU180" s="21"/>
      <c r="HV180" s="21"/>
      <c r="HW180" s="21"/>
      <c r="HX180" s="21"/>
      <c r="HY180" s="21"/>
      <c r="HZ180" s="21"/>
      <c r="IA180" s="21"/>
      <c r="IB180" s="21"/>
      <c r="IC180" s="21"/>
      <c r="ID180" s="21"/>
      <c r="IE180" s="21"/>
      <c r="IF180" s="21"/>
      <c r="IG180" s="21"/>
      <c r="IH180" s="21"/>
      <c r="II180" s="21"/>
      <c r="IJ180" s="21"/>
      <c r="IK180" s="21"/>
      <c r="IL180" s="21"/>
      <c r="IM180" s="21"/>
      <c r="IN180" s="21"/>
      <c r="IO180" s="21"/>
      <c r="IP180" s="21"/>
      <c r="IQ180" s="21"/>
      <c r="IR180" s="21"/>
      <c r="IS180" s="21"/>
      <c r="IT180" s="21"/>
    </row>
    <row r="181" spans="1:254" s="2" customFormat="1" ht="24.75" customHeight="1">
      <c r="A181" s="11">
        <v>179</v>
      </c>
      <c r="B181" s="12" t="str">
        <f>"吴松校"</f>
        <v>吴松校</v>
      </c>
      <c r="C181" s="13" t="s">
        <v>12</v>
      </c>
      <c r="D181" s="13" t="str">
        <f>"230702101825"</f>
        <v>230702101825</v>
      </c>
      <c r="E181" s="18">
        <v>59.965</v>
      </c>
      <c r="F181" s="19" t="s">
        <v>10</v>
      </c>
      <c r="G181" s="19" t="s">
        <v>10</v>
      </c>
      <c r="H181" s="11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  <c r="GN181" s="20"/>
      <c r="GO181" s="20"/>
      <c r="GP181" s="20"/>
      <c r="GQ181" s="20"/>
      <c r="GR181" s="21"/>
      <c r="GS181" s="21"/>
      <c r="GT181" s="21"/>
      <c r="GU181" s="21"/>
      <c r="GV181" s="21"/>
      <c r="GW181" s="21"/>
      <c r="GX181" s="21"/>
      <c r="GY181" s="21"/>
      <c r="GZ181" s="21"/>
      <c r="HA181" s="21"/>
      <c r="HB181" s="21"/>
      <c r="HC181" s="21"/>
      <c r="HD181" s="21"/>
      <c r="HE181" s="21"/>
      <c r="HF181" s="21"/>
      <c r="HG181" s="21"/>
      <c r="HH181" s="21"/>
      <c r="HI181" s="21"/>
      <c r="HJ181" s="21"/>
      <c r="HK181" s="21"/>
      <c r="HL181" s="21"/>
      <c r="HM181" s="21"/>
      <c r="HN181" s="21"/>
      <c r="HO181" s="21"/>
      <c r="HP181" s="21"/>
      <c r="HQ181" s="21"/>
      <c r="HR181" s="21"/>
      <c r="HS181" s="21"/>
      <c r="HT181" s="21"/>
      <c r="HU181" s="21"/>
      <c r="HV181" s="21"/>
      <c r="HW181" s="21"/>
      <c r="HX181" s="21"/>
      <c r="HY181" s="21"/>
      <c r="HZ181" s="21"/>
      <c r="IA181" s="21"/>
      <c r="IB181" s="21"/>
      <c r="IC181" s="21"/>
      <c r="ID181" s="21"/>
      <c r="IE181" s="21"/>
      <c r="IF181" s="21"/>
      <c r="IG181" s="21"/>
      <c r="IH181" s="21"/>
      <c r="II181" s="21"/>
      <c r="IJ181" s="21"/>
      <c r="IK181" s="21"/>
      <c r="IL181" s="21"/>
      <c r="IM181" s="21"/>
      <c r="IN181" s="21"/>
      <c r="IO181" s="21"/>
      <c r="IP181" s="21"/>
      <c r="IQ181" s="21"/>
      <c r="IR181" s="21"/>
      <c r="IS181" s="21"/>
      <c r="IT181" s="21"/>
    </row>
    <row r="182" spans="1:254" s="2" customFormat="1" ht="24.75" customHeight="1">
      <c r="A182" s="11">
        <v>180</v>
      </c>
      <c r="B182" s="12" t="str">
        <f>"王文龙"</f>
        <v>王文龙</v>
      </c>
      <c r="C182" s="13" t="s">
        <v>12</v>
      </c>
      <c r="D182" s="13" t="str">
        <f>"230702101703"</f>
        <v>230702101703</v>
      </c>
      <c r="E182" s="18">
        <v>59.75</v>
      </c>
      <c r="F182" s="19" t="s">
        <v>10</v>
      </c>
      <c r="G182" s="19" t="s">
        <v>10</v>
      </c>
      <c r="H182" s="11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  <c r="GN182" s="20"/>
      <c r="GO182" s="20"/>
      <c r="GP182" s="20"/>
      <c r="GQ182" s="20"/>
      <c r="GR182" s="21"/>
      <c r="GS182" s="21"/>
      <c r="GT182" s="21"/>
      <c r="GU182" s="21"/>
      <c r="GV182" s="21"/>
      <c r="GW182" s="21"/>
      <c r="GX182" s="21"/>
      <c r="GY182" s="21"/>
      <c r="GZ182" s="21"/>
      <c r="HA182" s="21"/>
      <c r="HB182" s="21"/>
      <c r="HC182" s="21"/>
      <c r="HD182" s="21"/>
      <c r="HE182" s="21"/>
      <c r="HF182" s="21"/>
      <c r="HG182" s="21"/>
      <c r="HH182" s="21"/>
      <c r="HI182" s="21"/>
      <c r="HJ182" s="21"/>
      <c r="HK182" s="21"/>
      <c r="HL182" s="21"/>
      <c r="HM182" s="21"/>
      <c r="HN182" s="21"/>
      <c r="HO182" s="21"/>
      <c r="HP182" s="21"/>
      <c r="HQ182" s="21"/>
      <c r="HR182" s="21"/>
      <c r="HS182" s="21"/>
      <c r="HT182" s="21"/>
      <c r="HU182" s="21"/>
      <c r="HV182" s="21"/>
      <c r="HW182" s="21"/>
      <c r="HX182" s="21"/>
      <c r="HY182" s="21"/>
      <c r="HZ182" s="21"/>
      <c r="IA182" s="21"/>
      <c r="IB182" s="21"/>
      <c r="IC182" s="21"/>
      <c r="ID182" s="21"/>
      <c r="IE182" s="21"/>
      <c r="IF182" s="21"/>
      <c r="IG182" s="21"/>
      <c r="IH182" s="21"/>
      <c r="II182" s="21"/>
      <c r="IJ182" s="21"/>
      <c r="IK182" s="21"/>
      <c r="IL182" s="21"/>
      <c r="IM182" s="21"/>
      <c r="IN182" s="21"/>
      <c r="IO182" s="21"/>
      <c r="IP182" s="21"/>
      <c r="IQ182" s="21"/>
      <c r="IR182" s="21"/>
      <c r="IS182" s="21"/>
      <c r="IT182" s="21"/>
    </row>
    <row r="183" spans="1:254" s="2" customFormat="1" ht="24.75" customHeight="1">
      <c r="A183" s="11">
        <v>181</v>
      </c>
      <c r="B183" s="12" t="str">
        <f>"孙传明"</f>
        <v>孙传明</v>
      </c>
      <c r="C183" s="13" t="s">
        <v>12</v>
      </c>
      <c r="D183" s="13" t="str">
        <f>"230702102912"</f>
        <v>230702102912</v>
      </c>
      <c r="E183" s="18">
        <v>59.615</v>
      </c>
      <c r="F183" s="19" t="s">
        <v>10</v>
      </c>
      <c r="G183" s="19" t="s">
        <v>10</v>
      </c>
      <c r="H183" s="11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  <c r="GN183" s="20"/>
      <c r="GO183" s="20"/>
      <c r="GP183" s="20"/>
      <c r="GQ183" s="20"/>
      <c r="GR183" s="21"/>
      <c r="GS183" s="21"/>
      <c r="GT183" s="21"/>
      <c r="GU183" s="21"/>
      <c r="GV183" s="21"/>
      <c r="GW183" s="21"/>
      <c r="GX183" s="21"/>
      <c r="GY183" s="21"/>
      <c r="GZ183" s="21"/>
      <c r="HA183" s="21"/>
      <c r="HB183" s="21"/>
      <c r="HC183" s="21"/>
      <c r="HD183" s="21"/>
      <c r="HE183" s="21"/>
      <c r="HF183" s="21"/>
      <c r="HG183" s="21"/>
      <c r="HH183" s="21"/>
      <c r="HI183" s="21"/>
      <c r="HJ183" s="21"/>
      <c r="HK183" s="21"/>
      <c r="HL183" s="21"/>
      <c r="HM183" s="21"/>
      <c r="HN183" s="21"/>
      <c r="HO183" s="21"/>
      <c r="HP183" s="21"/>
      <c r="HQ183" s="21"/>
      <c r="HR183" s="21"/>
      <c r="HS183" s="21"/>
      <c r="HT183" s="21"/>
      <c r="HU183" s="21"/>
      <c r="HV183" s="21"/>
      <c r="HW183" s="21"/>
      <c r="HX183" s="21"/>
      <c r="HY183" s="21"/>
      <c r="HZ183" s="21"/>
      <c r="IA183" s="21"/>
      <c r="IB183" s="21"/>
      <c r="IC183" s="21"/>
      <c r="ID183" s="21"/>
      <c r="IE183" s="21"/>
      <c r="IF183" s="21"/>
      <c r="IG183" s="21"/>
      <c r="IH183" s="21"/>
      <c r="II183" s="21"/>
      <c r="IJ183" s="21"/>
      <c r="IK183" s="21"/>
      <c r="IL183" s="21"/>
      <c r="IM183" s="21"/>
      <c r="IN183" s="21"/>
      <c r="IO183" s="21"/>
      <c r="IP183" s="21"/>
      <c r="IQ183" s="21"/>
      <c r="IR183" s="21"/>
      <c r="IS183" s="21"/>
      <c r="IT183" s="21"/>
    </row>
    <row r="184" spans="1:254" s="2" customFormat="1" ht="24.75" customHeight="1">
      <c r="A184" s="11">
        <v>182</v>
      </c>
      <c r="B184" s="12" t="str">
        <f>"王清晔"</f>
        <v>王清晔</v>
      </c>
      <c r="C184" s="13" t="s">
        <v>12</v>
      </c>
      <c r="D184" s="13" t="str">
        <f>"230702103225"</f>
        <v>230702103225</v>
      </c>
      <c r="E184" s="18">
        <v>59.55</v>
      </c>
      <c r="F184" s="19" t="s">
        <v>10</v>
      </c>
      <c r="G184" s="19" t="s">
        <v>10</v>
      </c>
      <c r="H184" s="11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  <c r="GQ184" s="20"/>
      <c r="GR184" s="21"/>
      <c r="GS184" s="21"/>
      <c r="GT184" s="21"/>
      <c r="GU184" s="21"/>
      <c r="GV184" s="21"/>
      <c r="GW184" s="21"/>
      <c r="GX184" s="21"/>
      <c r="GY184" s="21"/>
      <c r="GZ184" s="21"/>
      <c r="HA184" s="21"/>
      <c r="HB184" s="21"/>
      <c r="HC184" s="21"/>
      <c r="HD184" s="21"/>
      <c r="HE184" s="21"/>
      <c r="HF184" s="21"/>
      <c r="HG184" s="21"/>
      <c r="HH184" s="21"/>
      <c r="HI184" s="21"/>
      <c r="HJ184" s="21"/>
      <c r="HK184" s="21"/>
      <c r="HL184" s="21"/>
      <c r="HM184" s="21"/>
      <c r="HN184" s="21"/>
      <c r="HO184" s="21"/>
      <c r="HP184" s="21"/>
      <c r="HQ184" s="21"/>
      <c r="HR184" s="21"/>
      <c r="HS184" s="21"/>
      <c r="HT184" s="21"/>
      <c r="HU184" s="21"/>
      <c r="HV184" s="21"/>
      <c r="HW184" s="21"/>
      <c r="HX184" s="21"/>
      <c r="HY184" s="21"/>
      <c r="HZ184" s="21"/>
      <c r="IA184" s="21"/>
      <c r="IB184" s="21"/>
      <c r="IC184" s="21"/>
      <c r="ID184" s="21"/>
      <c r="IE184" s="21"/>
      <c r="IF184" s="21"/>
      <c r="IG184" s="21"/>
      <c r="IH184" s="21"/>
      <c r="II184" s="21"/>
      <c r="IJ184" s="21"/>
      <c r="IK184" s="21"/>
      <c r="IL184" s="21"/>
      <c r="IM184" s="21"/>
      <c r="IN184" s="21"/>
      <c r="IO184" s="21"/>
      <c r="IP184" s="21"/>
      <c r="IQ184" s="21"/>
      <c r="IR184" s="21"/>
      <c r="IS184" s="21"/>
      <c r="IT184" s="21"/>
    </row>
    <row r="185" spans="1:254" s="2" customFormat="1" ht="24.75" customHeight="1">
      <c r="A185" s="11">
        <v>183</v>
      </c>
      <c r="B185" s="12" t="str">
        <f>"赵开邦"</f>
        <v>赵开邦</v>
      </c>
      <c r="C185" s="13" t="s">
        <v>12</v>
      </c>
      <c r="D185" s="13" t="str">
        <f>"230702102428"</f>
        <v>230702102428</v>
      </c>
      <c r="E185" s="18">
        <v>59.315</v>
      </c>
      <c r="F185" s="19" t="s">
        <v>10</v>
      </c>
      <c r="G185" s="19" t="s">
        <v>10</v>
      </c>
      <c r="H185" s="11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  <c r="GN185" s="20"/>
      <c r="GO185" s="20"/>
      <c r="GP185" s="20"/>
      <c r="GQ185" s="20"/>
      <c r="GR185" s="21"/>
      <c r="GS185" s="21"/>
      <c r="GT185" s="21"/>
      <c r="GU185" s="21"/>
      <c r="GV185" s="21"/>
      <c r="GW185" s="21"/>
      <c r="GX185" s="21"/>
      <c r="GY185" s="21"/>
      <c r="GZ185" s="21"/>
      <c r="HA185" s="21"/>
      <c r="HB185" s="21"/>
      <c r="HC185" s="21"/>
      <c r="HD185" s="21"/>
      <c r="HE185" s="21"/>
      <c r="HF185" s="21"/>
      <c r="HG185" s="21"/>
      <c r="HH185" s="21"/>
      <c r="HI185" s="21"/>
      <c r="HJ185" s="21"/>
      <c r="HK185" s="21"/>
      <c r="HL185" s="21"/>
      <c r="HM185" s="21"/>
      <c r="HN185" s="21"/>
      <c r="HO185" s="21"/>
      <c r="HP185" s="21"/>
      <c r="HQ185" s="21"/>
      <c r="HR185" s="21"/>
      <c r="HS185" s="21"/>
      <c r="HT185" s="21"/>
      <c r="HU185" s="21"/>
      <c r="HV185" s="21"/>
      <c r="HW185" s="21"/>
      <c r="HX185" s="21"/>
      <c r="HY185" s="21"/>
      <c r="HZ185" s="21"/>
      <c r="IA185" s="21"/>
      <c r="IB185" s="21"/>
      <c r="IC185" s="21"/>
      <c r="ID185" s="21"/>
      <c r="IE185" s="21"/>
      <c r="IF185" s="21"/>
      <c r="IG185" s="21"/>
      <c r="IH185" s="21"/>
      <c r="II185" s="21"/>
      <c r="IJ185" s="21"/>
      <c r="IK185" s="21"/>
      <c r="IL185" s="21"/>
      <c r="IM185" s="21"/>
      <c r="IN185" s="21"/>
      <c r="IO185" s="21"/>
      <c r="IP185" s="21"/>
      <c r="IQ185" s="21"/>
      <c r="IR185" s="21"/>
      <c r="IS185" s="21"/>
      <c r="IT185" s="21"/>
    </row>
    <row r="186" spans="1:254" s="2" customFormat="1" ht="24.75" customHeight="1">
      <c r="A186" s="11">
        <v>184</v>
      </c>
      <c r="B186" s="12" t="str">
        <f>"王吉功"</f>
        <v>王吉功</v>
      </c>
      <c r="C186" s="13" t="s">
        <v>12</v>
      </c>
      <c r="D186" s="13" t="str">
        <f>"230702100914"</f>
        <v>230702100914</v>
      </c>
      <c r="E186" s="18">
        <v>59.135</v>
      </c>
      <c r="F186" s="19" t="s">
        <v>10</v>
      </c>
      <c r="G186" s="19" t="s">
        <v>10</v>
      </c>
      <c r="H186" s="11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  <c r="GN186" s="20"/>
      <c r="GO186" s="20"/>
      <c r="GP186" s="20"/>
      <c r="GQ186" s="20"/>
      <c r="GR186" s="21"/>
      <c r="GS186" s="21"/>
      <c r="GT186" s="21"/>
      <c r="GU186" s="21"/>
      <c r="GV186" s="21"/>
      <c r="GW186" s="21"/>
      <c r="GX186" s="21"/>
      <c r="GY186" s="21"/>
      <c r="GZ186" s="21"/>
      <c r="HA186" s="21"/>
      <c r="HB186" s="21"/>
      <c r="HC186" s="21"/>
      <c r="HD186" s="21"/>
      <c r="HE186" s="21"/>
      <c r="HF186" s="21"/>
      <c r="HG186" s="21"/>
      <c r="HH186" s="21"/>
      <c r="HI186" s="21"/>
      <c r="HJ186" s="21"/>
      <c r="HK186" s="21"/>
      <c r="HL186" s="21"/>
      <c r="HM186" s="21"/>
      <c r="HN186" s="21"/>
      <c r="HO186" s="21"/>
      <c r="HP186" s="21"/>
      <c r="HQ186" s="21"/>
      <c r="HR186" s="21"/>
      <c r="HS186" s="21"/>
      <c r="HT186" s="21"/>
      <c r="HU186" s="21"/>
      <c r="HV186" s="21"/>
      <c r="HW186" s="21"/>
      <c r="HX186" s="21"/>
      <c r="HY186" s="21"/>
      <c r="HZ186" s="21"/>
      <c r="IA186" s="21"/>
      <c r="IB186" s="21"/>
      <c r="IC186" s="21"/>
      <c r="ID186" s="21"/>
      <c r="IE186" s="21"/>
      <c r="IF186" s="21"/>
      <c r="IG186" s="21"/>
      <c r="IH186" s="21"/>
      <c r="II186" s="21"/>
      <c r="IJ186" s="21"/>
      <c r="IK186" s="21"/>
      <c r="IL186" s="21"/>
      <c r="IM186" s="21"/>
      <c r="IN186" s="21"/>
      <c r="IO186" s="21"/>
      <c r="IP186" s="21"/>
      <c r="IQ186" s="21"/>
      <c r="IR186" s="21"/>
      <c r="IS186" s="21"/>
      <c r="IT186" s="21"/>
    </row>
    <row r="187" spans="1:254" s="2" customFormat="1" ht="24.75" customHeight="1">
      <c r="A187" s="11">
        <v>185</v>
      </c>
      <c r="B187" s="12" t="str">
        <f>"苏二波"</f>
        <v>苏二波</v>
      </c>
      <c r="C187" s="13" t="s">
        <v>12</v>
      </c>
      <c r="D187" s="13" t="str">
        <f>"230702101830"</f>
        <v>230702101830</v>
      </c>
      <c r="E187" s="18">
        <v>58.865</v>
      </c>
      <c r="F187" s="19" t="s">
        <v>10</v>
      </c>
      <c r="G187" s="19" t="s">
        <v>10</v>
      </c>
      <c r="H187" s="11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1"/>
      <c r="GS187" s="21"/>
      <c r="GT187" s="21"/>
      <c r="GU187" s="21"/>
      <c r="GV187" s="21"/>
      <c r="GW187" s="21"/>
      <c r="GX187" s="21"/>
      <c r="GY187" s="21"/>
      <c r="GZ187" s="21"/>
      <c r="HA187" s="21"/>
      <c r="HB187" s="21"/>
      <c r="HC187" s="21"/>
      <c r="HD187" s="21"/>
      <c r="HE187" s="21"/>
      <c r="HF187" s="21"/>
      <c r="HG187" s="21"/>
      <c r="HH187" s="21"/>
      <c r="HI187" s="21"/>
      <c r="HJ187" s="21"/>
      <c r="HK187" s="21"/>
      <c r="HL187" s="21"/>
      <c r="HM187" s="21"/>
      <c r="HN187" s="21"/>
      <c r="HO187" s="21"/>
      <c r="HP187" s="21"/>
      <c r="HQ187" s="21"/>
      <c r="HR187" s="21"/>
      <c r="HS187" s="21"/>
      <c r="HT187" s="21"/>
      <c r="HU187" s="21"/>
      <c r="HV187" s="21"/>
      <c r="HW187" s="21"/>
      <c r="HX187" s="21"/>
      <c r="HY187" s="21"/>
      <c r="HZ187" s="21"/>
      <c r="IA187" s="21"/>
      <c r="IB187" s="21"/>
      <c r="IC187" s="21"/>
      <c r="ID187" s="21"/>
      <c r="IE187" s="21"/>
      <c r="IF187" s="21"/>
      <c r="IG187" s="21"/>
      <c r="IH187" s="21"/>
      <c r="II187" s="21"/>
      <c r="IJ187" s="21"/>
      <c r="IK187" s="21"/>
      <c r="IL187" s="21"/>
      <c r="IM187" s="21"/>
      <c r="IN187" s="21"/>
      <c r="IO187" s="21"/>
      <c r="IP187" s="21"/>
      <c r="IQ187" s="21"/>
      <c r="IR187" s="21"/>
      <c r="IS187" s="21"/>
      <c r="IT187" s="21"/>
    </row>
    <row r="188" spans="1:254" s="2" customFormat="1" ht="24.75" customHeight="1">
      <c r="A188" s="11">
        <v>186</v>
      </c>
      <c r="B188" s="12" t="str">
        <f>"林升平"</f>
        <v>林升平</v>
      </c>
      <c r="C188" s="13" t="s">
        <v>12</v>
      </c>
      <c r="D188" s="13" t="str">
        <f>"230702102614"</f>
        <v>230702102614</v>
      </c>
      <c r="E188" s="18">
        <v>58.865</v>
      </c>
      <c r="F188" s="19" t="s">
        <v>10</v>
      </c>
      <c r="G188" s="19" t="s">
        <v>10</v>
      </c>
      <c r="H188" s="11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  <c r="GN188" s="20"/>
      <c r="GO188" s="20"/>
      <c r="GP188" s="20"/>
      <c r="GQ188" s="20"/>
      <c r="GR188" s="21"/>
      <c r="GS188" s="21"/>
      <c r="GT188" s="21"/>
      <c r="GU188" s="21"/>
      <c r="GV188" s="21"/>
      <c r="GW188" s="21"/>
      <c r="GX188" s="21"/>
      <c r="GY188" s="21"/>
      <c r="GZ188" s="21"/>
      <c r="HA188" s="21"/>
      <c r="HB188" s="21"/>
      <c r="HC188" s="21"/>
      <c r="HD188" s="21"/>
      <c r="HE188" s="21"/>
      <c r="HF188" s="21"/>
      <c r="HG188" s="21"/>
      <c r="HH188" s="21"/>
      <c r="HI188" s="21"/>
      <c r="HJ188" s="21"/>
      <c r="HK188" s="21"/>
      <c r="HL188" s="21"/>
      <c r="HM188" s="21"/>
      <c r="HN188" s="21"/>
      <c r="HO188" s="21"/>
      <c r="HP188" s="21"/>
      <c r="HQ188" s="21"/>
      <c r="HR188" s="21"/>
      <c r="HS188" s="21"/>
      <c r="HT188" s="21"/>
      <c r="HU188" s="21"/>
      <c r="HV188" s="21"/>
      <c r="HW188" s="21"/>
      <c r="HX188" s="21"/>
      <c r="HY188" s="21"/>
      <c r="HZ188" s="21"/>
      <c r="IA188" s="21"/>
      <c r="IB188" s="21"/>
      <c r="IC188" s="21"/>
      <c r="ID188" s="21"/>
      <c r="IE188" s="21"/>
      <c r="IF188" s="21"/>
      <c r="IG188" s="21"/>
      <c r="IH188" s="21"/>
      <c r="II188" s="21"/>
      <c r="IJ188" s="21"/>
      <c r="IK188" s="21"/>
      <c r="IL188" s="21"/>
      <c r="IM188" s="21"/>
      <c r="IN188" s="21"/>
      <c r="IO188" s="21"/>
      <c r="IP188" s="21"/>
      <c r="IQ188" s="21"/>
      <c r="IR188" s="21"/>
      <c r="IS188" s="21"/>
      <c r="IT188" s="21"/>
    </row>
    <row r="189" spans="1:254" s="2" customFormat="1" ht="24.75" customHeight="1">
      <c r="A189" s="11">
        <v>187</v>
      </c>
      <c r="B189" s="12" t="str">
        <f>"丁海照"</f>
        <v>丁海照</v>
      </c>
      <c r="C189" s="13" t="s">
        <v>12</v>
      </c>
      <c r="D189" s="13" t="str">
        <f>"230702103411"</f>
        <v>230702103411</v>
      </c>
      <c r="E189" s="18">
        <v>58.615</v>
      </c>
      <c r="F189" s="19" t="s">
        <v>10</v>
      </c>
      <c r="G189" s="19" t="s">
        <v>10</v>
      </c>
      <c r="H189" s="11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  <c r="GN189" s="20"/>
      <c r="GO189" s="20"/>
      <c r="GP189" s="20"/>
      <c r="GQ189" s="20"/>
      <c r="GR189" s="21"/>
      <c r="GS189" s="21"/>
      <c r="GT189" s="21"/>
      <c r="GU189" s="21"/>
      <c r="GV189" s="21"/>
      <c r="GW189" s="21"/>
      <c r="GX189" s="21"/>
      <c r="GY189" s="21"/>
      <c r="GZ189" s="21"/>
      <c r="HA189" s="21"/>
      <c r="HB189" s="21"/>
      <c r="HC189" s="21"/>
      <c r="HD189" s="21"/>
      <c r="HE189" s="21"/>
      <c r="HF189" s="21"/>
      <c r="HG189" s="21"/>
      <c r="HH189" s="21"/>
      <c r="HI189" s="21"/>
      <c r="HJ189" s="21"/>
      <c r="HK189" s="21"/>
      <c r="HL189" s="21"/>
      <c r="HM189" s="21"/>
      <c r="HN189" s="21"/>
      <c r="HO189" s="21"/>
      <c r="HP189" s="21"/>
      <c r="HQ189" s="21"/>
      <c r="HR189" s="21"/>
      <c r="HS189" s="21"/>
      <c r="HT189" s="21"/>
      <c r="HU189" s="21"/>
      <c r="HV189" s="21"/>
      <c r="HW189" s="21"/>
      <c r="HX189" s="21"/>
      <c r="HY189" s="21"/>
      <c r="HZ189" s="21"/>
      <c r="IA189" s="21"/>
      <c r="IB189" s="21"/>
      <c r="IC189" s="21"/>
      <c r="ID189" s="21"/>
      <c r="IE189" s="21"/>
      <c r="IF189" s="21"/>
      <c r="IG189" s="21"/>
      <c r="IH189" s="21"/>
      <c r="II189" s="21"/>
      <c r="IJ189" s="21"/>
      <c r="IK189" s="21"/>
      <c r="IL189" s="21"/>
      <c r="IM189" s="21"/>
      <c r="IN189" s="21"/>
      <c r="IO189" s="21"/>
      <c r="IP189" s="21"/>
      <c r="IQ189" s="21"/>
      <c r="IR189" s="21"/>
      <c r="IS189" s="21"/>
      <c r="IT189" s="21"/>
    </row>
    <row r="190" spans="1:254" s="3" customFormat="1" ht="27" customHeight="1">
      <c r="A190" s="11">
        <v>188</v>
      </c>
      <c r="B190" s="13" t="str">
        <f>"陆晓雯"</f>
        <v>陆晓雯</v>
      </c>
      <c r="C190" s="13" t="s">
        <v>13</v>
      </c>
      <c r="D190" s="13" t="str">
        <f>"230702105624"</f>
        <v>230702105624</v>
      </c>
      <c r="E190" s="18">
        <v>74.185</v>
      </c>
      <c r="F190" s="19" t="s">
        <v>10</v>
      </c>
      <c r="G190" s="19" t="s">
        <v>10</v>
      </c>
      <c r="H190" s="18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  <c r="GN190" s="20"/>
      <c r="GO190" s="20"/>
      <c r="GP190" s="20"/>
      <c r="GQ190" s="20"/>
      <c r="GR190" s="20"/>
      <c r="GS190" s="20"/>
      <c r="GT190" s="21"/>
      <c r="GU190" s="21"/>
      <c r="GV190" s="21"/>
      <c r="GW190" s="21"/>
      <c r="GX190" s="21"/>
      <c r="GY190" s="21"/>
      <c r="GZ190" s="21"/>
      <c r="HA190" s="21"/>
      <c r="HB190" s="21"/>
      <c r="HC190" s="21"/>
      <c r="HD190" s="21"/>
      <c r="HE190" s="21"/>
      <c r="HF190" s="21"/>
      <c r="HG190" s="21"/>
      <c r="HH190" s="21"/>
      <c r="HI190" s="21"/>
      <c r="HJ190" s="21"/>
      <c r="HK190" s="21"/>
      <c r="HL190" s="21"/>
      <c r="HM190" s="21"/>
      <c r="HN190" s="21"/>
      <c r="HO190" s="21"/>
      <c r="HP190" s="21"/>
      <c r="HQ190" s="21"/>
      <c r="HR190" s="21"/>
      <c r="HS190" s="21"/>
      <c r="HT190" s="21"/>
      <c r="HU190" s="21"/>
      <c r="HV190" s="21"/>
      <c r="HW190" s="21"/>
      <c r="HX190" s="21"/>
      <c r="HY190" s="21"/>
      <c r="HZ190" s="21"/>
      <c r="IA190" s="21"/>
      <c r="IB190" s="21"/>
      <c r="IC190" s="21"/>
      <c r="ID190" s="21"/>
      <c r="IE190" s="21"/>
      <c r="IF190" s="21"/>
      <c r="IG190" s="21"/>
      <c r="IH190" s="21"/>
      <c r="II190" s="21"/>
      <c r="IJ190" s="21"/>
      <c r="IK190" s="21"/>
      <c r="IL190" s="21"/>
      <c r="IM190" s="21"/>
      <c r="IN190" s="21"/>
      <c r="IO190" s="21"/>
      <c r="IP190" s="21"/>
      <c r="IQ190" s="21"/>
      <c r="IR190" s="21"/>
      <c r="IS190" s="21"/>
      <c r="IT190" s="21"/>
    </row>
    <row r="191" spans="1:254" s="3" customFormat="1" ht="27" customHeight="1">
      <c r="A191" s="11">
        <v>189</v>
      </c>
      <c r="B191" s="13" t="str">
        <f>"张红卫"</f>
        <v>张红卫</v>
      </c>
      <c r="C191" s="13" t="s">
        <v>13</v>
      </c>
      <c r="D191" s="13" t="str">
        <f>"230702104607"</f>
        <v>230702104607</v>
      </c>
      <c r="E191" s="18">
        <v>73.715</v>
      </c>
      <c r="F191" s="19" t="s">
        <v>10</v>
      </c>
      <c r="G191" s="19" t="s">
        <v>10</v>
      </c>
      <c r="H191" s="18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  <c r="GN191" s="20"/>
      <c r="GO191" s="20"/>
      <c r="GP191" s="20"/>
      <c r="GQ191" s="20"/>
      <c r="GR191" s="20"/>
      <c r="GS191" s="20"/>
      <c r="GT191" s="21"/>
      <c r="GU191" s="21"/>
      <c r="GV191" s="21"/>
      <c r="GW191" s="21"/>
      <c r="GX191" s="21"/>
      <c r="GY191" s="21"/>
      <c r="GZ191" s="21"/>
      <c r="HA191" s="21"/>
      <c r="HB191" s="21"/>
      <c r="HC191" s="21"/>
      <c r="HD191" s="21"/>
      <c r="HE191" s="21"/>
      <c r="HF191" s="21"/>
      <c r="HG191" s="21"/>
      <c r="HH191" s="21"/>
      <c r="HI191" s="21"/>
      <c r="HJ191" s="21"/>
      <c r="HK191" s="21"/>
      <c r="HL191" s="21"/>
      <c r="HM191" s="21"/>
      <c r="HN191" s="21"/>
      <c r="HO191" s="21"/>
      <c r="HP191" s="21"/>
      <c r="HQ191" s="21"/>
      <c r="HR191" s="21"/>
      <c r="HS191" s="21"/>
      <c r="HT191" s="21"/>
      <c r="HU191" s="21"/>
      <c r="HV191" s="21"/>
      <c r="HW191" s="21"/>
      <c r="HX191" s="21"/>
      <c r="HY191" s="21"/>
      <c r="HZ191" s="21"/>
      <c r="IA191" s="21"/>
      <c r="IB191" s="21"/>
      <c r="IC191" s="21"/>
      <c r="ID191" s="21"/>
      <c r="IE191" s="21"/>
      <c r="IF191" s="21"/>
      <c r="IG191" s="21"/>
      <c r="IH191" s="21"/>
      <c r="II191" s="21"/>
      <c r="IJ191" s="21"/>
      <c r="IK191" s="21"/>
      <c r="IL191" s="21"/>
      <c r="IM191" s="21"/>
      <c r="IN191" s="21"/>
      <c r="IO191" s="21"/>
      <c r="IP191" s="21"/>
      <c r="IQ191" s="21"/>
      <c r="IR191" s="21"/>
      <c r="IS191" s="21"/>
      <c r="IT191" s="21"/>
    </row>
    <row r="192" spans="1:254" s="3" customFormat="1" ht="27" customHeight="1">
      <c r="A192" s="11">
        <v>190</v>
      </c>
      <c r="B192" s="13" t="str">
        <f>"吴秋娃"</f>
        <v>吴秋娃</v>
      </c>
      <c r="C192" s="13" t="s">
        <v>13</v>
      </c>
      <c r="D192" s="13" t="str">
        <f>"230702105709"</f>
        <v>230702105709</v>
      </c>
      <c r="E192" s="18">
        <v>70.715</v>
      </c>
      <c r="F192" s="19" t="s">
        <v>10</v>
      </c>
      <c r="G192" s="19" t="s">
        <v>10</v>
      </c>
      <c r="H192" s="18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  <c r="GN192" s="20"/>
      <c r="GO192" s="20"/>
      <c r="GP192" s="20"/>
      <c r="GQ192" s="20"/>
      <c r="GR192" s="20"/>
      <c r="GS192" s="20"/>
      <c r="GT192" s="21"/>
      <c r="GU192" s="21"/>
      <c r="GV192" s="21"/>
      <c r="GW192" s="21"/>
      <c r="GX192" s="21"/>
      <c r="GY192" s="21"/>
      <c r="GZ192" s="21"/>
      <c r="HA192" s="21"/>
      <c r="HB192" s="21"/>
      <c r="HC192" s="21"/>
      <c r="HD192" s="21"/>
      <c r="HE192" s="21"/>
      <c r="HF192" s="21"/>
      <c r="HG192" s="21"/>
      <c r="HH192" s="21"/>
      <c r="HI192" s="21"/>
      <c r="HJ192" s="21"/>
      <c r="HK192" s="21"/>
      <c r="HL192" s="21"/>
      <c r="HM192" s="21"/>
      <c r="HN192" s="21"/>
      <c r="HO192" s="21"/>
      <c r="HP192" s="21"/>
      <c r="HQ192" s="21"/>
      <c r="HR192" s="21"/>
      <c r="HS192" s="21"/>
      <c r="HT192" s="21"/>
      <c r="HU192" s="21"/>
      <c r="HV192" s="21"/>
      <c r="HW192" s="21"/>
      <c r="HX192" s="21"/>
      <c r="HY192" s="21"/>
      <c r="HZ192" s="21"/>
      <c r="IA192" s="21"/>
      <c r="IB192" s="21"/>
      <c r="IC192" s="21"/>
      <c r="ID192" s="21"/>
      <c r="IE192" s="21"/>
      <c r="IF192" s="21"/>
      <c r="IG192" s="21"/>
      <c r="IH192" s="21"/>
      <c r="II192" s="21"/>
      <c r="IJ192" s="21"/>
      <c r="IK192" s="21"/>
      <c r="IL192" s="21"/>
      <c r="IM192" s="21"/>
      <c r="IN192" s="21"/>
      <c r="IO192" s="21"/>
      <c r="IP192" s="21"/>
      <c r="IQ192" s="21"/>
      <c r="IR192" s="21"/>
      <c r="IS192" s="21"/>
      <c r="IT192" s="21"/>
    </row>
    <row r="193" spans="1:254" s="3" customFormat="1" ht="27" customHeight="1">
      <c r="A193" s="11">
        <v>191</v>
      </c>
      <c r="B193" s="13" t="str">
        <f>"林小婉"</f>
        <v>林小婉</v>
      </c>
      <c r="C193" s="13" t="s">
        <v>13</v>
      </c>
      <c r="D193" s="13" t="str">
        <f>"230702103710"</f>
        <v>230702103710</v>
      </c>
      <c r="E193" s="18">
        <v>70.065</v>
      </c>
      <c r="F193" s="19" t="s">
        <v>10</v>
      </c>
      <c r="G193" s="19" t="s">
        <v>10</v>
      </c>
      <c r="H193" s="18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0"/>
      <c r="GL193" s="20"/>
      <c r="GM193" s="20"/>
      <c r="GN193" s="20"/>
      <c r="GO193" s="20"/>
      <c r="GP193" s="20"/>
      <c r="GQ193" s="20"/>
      <c r="GR193" s="20"/>
      <c r="GS193" s="20"/>
      <c r="GT193" s="21"/>
      <c r="GU193" s="21"/>
      <c r="GV193" s="21"/>
      <c r="GW193" s="21"/>
      <c r="GX193" s="21"/>
      <c r="GY193" s="21"/>
      <c r="GZ193" s="21"/>
      <c r="HA193" s="21"/>
      <c r="HB193" s="21"/>
      <c r="HC193" s="21"/>
      <c r="HD193" s="21"/>
      <c r="HE193" s="21"/>
      <c r="HF193" s="21"/>
      <c r="HG193" s="21"/>
      <c r="HH193" s="21"/>
      <c r="HI193" s="21"/>
      <c r="HJ193" s="21"/>
      <c r="HK193" s="21"/>
      <c r="HL193" s="21"/>
      <c r="HM193" s="21"/>
      <c r="HN193" s="21"/>
      <c r="HO193" s="21"/>
      <c r="HP193" s="21"/>
      <c r="HQ193" s="21"/>
      <c r="HR193" s="21"/>
      <c r="HS193" s="21"/>
      <c r="HT193" s="21"/>
      <c r="HU193" s="21"/>
      <c r="HV193" s="21"/>
      <c r="HW193" s="21"/>
      <c r="HX193" s="21"/>
      <c r="HY193" s="21"/>
      <c r="HZ193" s="21"/>
      <c r="IA193" s="21"/>
      <c r="IB193" s="21"/>
      <c r="IC193" s="21"/>
      <c r="ID193" s="21"/>
      <c r="IE193" s="21"/>
      <c r="IF193" s="21"/>
      <c r="IG193" s="21"/>
      <c r="IH193" s="21"/>
      <c r="II193" s="21"/>
      <c r="IJ193" s="21"/>
      <c r="IK193" s="21"/>
      <c r="IL193" s="21"/>
      <c r="IM193" s="21"/>
      <c r="IN193" s="21"/>
      <c r="IO193" s="21"/>
      <c r="IP193" s="21"/>
      <c r="IQ193" s="21"/>
      <c r="IR193" s="21"/>
      <c r="IS193" s="21"/>
      <c r="IT193" s="21"/>
    </row>
    <row r="194" spans="1:254" s="3" customFormat="1" ht="27" customHeight="1">
      <c r="A194" s="11">
        <v>192</v>
      </c>
      <c r="B194" s="13" t="str">
        <f>"吉盈"</f>
        <v>吉盈</v>
      </c>
      <c r="C194" s="13" t="s">
        <v>13</v>
      </c>
      <c r="D194" s="13" t="str">
        <f>"230702104213"</f>
        <v>230702104213</v>
      </c>
      <c r="E194" s="18">
        <v>69.65</v>
      </c>
      <c r="F194" s="19" t="s">
        <v>10</v>
      </c>
      <c r="G194" s="19" t="s">
        <v>10</v>
      </c>
      <c r="H194" s="18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  <c r="GN194" s="20"/>
      <c r="GO194" s="20"/>
      <c r="GP194" s="20"/>
      <c r="GQ194" s="20"/>
      <c r="GR194" s="20"/>
      <c r="GS194" s="20"/>
      <c r="GT194" s="21"/>
      <c r="GU194" s="21"/>
      <c r="GV194" s="21"/>
      <c r="GW194" s="21"/>
      <c r="GX194" s="21"/>
      <c r="GY194" s="21"/>
      <c r="GZ194" s="21"/>
      <c r="HA194" s="21"/>
      <c r="HB194" s="21"/>
      <c r="HC194" s="21"/>
      <c r="HD194" s="21"/>
      <c r="HE194" s="21"/>
      <c r="HF194" s="21"/>
      <c r="HG194" s="21"/>
      <c r="HH194" s="21"/>
      <c r="HI194" s="21"/>
      <c r="HJ194" s="21"/>
      <c r="HK194" s="21"/>
      <c r="HL194" s="21"/>
      <c r="HM194" s="21"/>
      <c r="HN194" s="21"/>
      <c r="HO194" s="21"/>
      <c r="HP194" s="21"/>
      <c r="HQ194" s="21"/>
      <c r="HR194" s="21"/>
      <c r="HS194" s="21"/>
      <c r="HT194" s="21"/>
      <c r="HU194" s="21"/>
      <c r="HV194" s="21"/>
      <c r="HW194" s="21"/>
      <c r="HX194" s="21"/>
      <c r="HY194" s="21"/>
      <c r="HZ194" s="21"/>
      <c r="IA194" s="21"/>
      <c r="IB194" s="21"/>
      <c r="IC194" s="21"/>
      <c r="ID194" s="21"/>
      <c r="IE194" s="21"/>
      <c r="IF194" s="21"/>
      <c r="IG194" s="21"/>
      <c r="IH194" s="21"/>
      <c r="II194" s="21"/>
      <c r="IJ194" s="21"/>
      <c r="IK194" s="21"/>
      <c r="IL194" s="21"/>
      <c r="IM194" s="21"/>
      <c r="IN194" s="21"/>
      <c r="IO194" s="21"/>
      <c r="IP194" s="21"/>
      <c r="IQ194" s="21"/>
      <c r="IR194" s="21"/>
      <c r="IS194" s="21"/>
      <c r="IT194" s="21"/>
    </row>
    <row r="195" spans="1:254" s="3" customFormat="1" ht="27" customHeight="1">
      <c r="A195" s="11">
        <v>193</v>
      </c>
      <c r="B195" s="13" t="str">
        <f>"张海虹"</f>
        <v>张海虹</v>
      </c>
      <c r="C195" s="13" t="s">
        <v>13</v>
      </c>
      <c r="D195" s="13" t="str">
        <f>"230702105029"</f>
        <v>230702105029</v>
      </c>
      <c r="E195" s="18">
        <v>69.58500000000001</v>
      </c>
      <c r="F195" s="19" t="s">
        <v>10</v>
      </c>
      <c r="G195" s="19" t="s">
        <v>10</v>
      </c>
      <c r="H195" s="18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  <c r="GN195" s="20"/>
      <c r="GO195" s="20"/>
      <c r="GP195" s="20"/>
      <c r="GQ195" s="20"/>
      <c r="GR195" s="20"/>
      <c r="GS195" s="20"/>
      <c r="GT195" s="21"/>
      <c r="GU195" s="21"/>
      <c r="GV195" s="21"/>
      <c r="GW195" s="21"/>
      <c r="GX195" s="21"/>
      <c r="GY195" s="21"/>
      <c r="GZ195" s="21"/>
      <c r="HA195" s="21"/>
      <c r="HB195" s="21"/>
      <c r="HC195" s="21"/>
      <c r="HD195" s="21"/>
      <c r="HE195" s="21"/>
      <c r="HF195" s="21"/>
      <c r="HG195" s="21"/>
      <c r="HH195" s="21"/>
      <c r="HI195" s="21"/>
      <c r="HJ195" s="21"/>
      <c r="HK195" s="21"/>
      <c r="HL195" s="21"/>
      <c r="HM195" s="21"/>
      <c r="HN195" s="21"/>
      <c r="HO195" s="21"/>
      <c r="HP195" s="21"/>
      <c r="HQ195" s="21"/>
      <c r="HR195" s="21"/>
      <c r="HS195" s="21"/>
      <c r="HT195" s="21"/>
      <c r="HU195" s="21"/>
      <c r="HV195" s="21"/>
      <c r="HW195" s="21"/>
      <c r="HX195" s="21"/>
      <c r="HY195" s="21"/>
      <c r="HZ195" s="21"/>
      <c r="IA195" s="21"/>
      <c r="IB195" s="21"/>
      <c r="IC195" s="21"/>
      <c r="ID195" s="21"/>
      <c r="IE195" s="21"/>
      <c r="IF195" s="21"/>
      <c r="IG195" s="21"/>
      <c r="IH195" s="21"/>
      <c r="II195" s="21"/>
      <c r="IJ195" s="21"/>
      <c r="IK195" s="21"/>
      <c r="IL195" s="21"/>
      <c r="IM195" s="21"/>
      <c r="IN195" s="21"/>
      <c r="IO195" s="21"/>
      <c r="IP195" s="21"/>
      <c r="IQ195" s="21"/>
      <c r="IR195" s="21"/>
      <c r="IS195" s="21"/>
      <c r="IT195" s="21"/>
    </row>
    <row r="196" spans="1:254" s="3" customFormat="1" ht="27" customHeight="1">
      <c r="A196" s="11">
        <v>194</v>
      </c>
      <c r="B196" s="13" t="str">
        <f>"李文静"</f>
        <v>李文静</v>
      </c>
      <c r="C196" s="13" t="s">
        <v>13</v>
      </c>
      <c r="D196" s="13" t="str">
        <f>"230702105627"</f>
        <v>230702105627</v>
      </c>
      <c r="E196" s="18">
        <v>69.33500000000001</v>
      </c>
      <c r="F196" s="19" t="s">
        <v>10</v>
      </c>
      <c r="G196" s="19" t="s">
        <v>10</v>
      </c>
      <c r="H196" s="18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  <c r="GN196" s="20"/>
      <c r="GO196" s="20"/>
      <c r="GP196" s="20"/>
      <c r="GQ196" s="20"/>
      <c r="GR196" s="20"/>
      <c r="GS196" s="20"/>
      <c r="GT196" s="21"/>
      <c r="GU196" s="21"/>
      <c r="GV196" s="21"/>
      <c r="GW196" s="21"/>
      <c r="GX196" s="21"/>
      <c r="GY196" s="21"/>
      <c r="GZ196" s="21"/>
      <c r="HA196" s="21"/>
      <c r="HB196" s="21"/>
      <c r="HC196" s="21"/>
      <c r="HD196" s="21"/>
      <c r="HE196" s="21"/>
      <c r="HF196" s="21"/>
      <c r="HG196" s="21"/>
      <c r="HH196" s="21"/>
      <c r="HI196" s="21"/>
      <c r="HJ196" s="21"/>
      <c r="HK196" s="21"/>
      <c r="HL196" s="21"/>
      <c r="HM196" s="21"/>
      <c r="HN196" s="21"/>
      <c r="HO196" s="21"/>
      <c r="HP196" s="21"/>
      <c r="HQ196" s="21"/>
      <c r="HR196" s="21"/>
      <c r="HS196" s="21"/>
      <c r="HT196" s="21"/>
      <c r="HU196" s="21"/>
      <c r="HV196" s="21"/>
      <c r="HW196" s="21"/>
      <c r="HX196" s="21"/>
      <c r="HY196" s="21"/>
      <c r="HZ196" s="21"/>
      <c r="IA196" s="21"/>
      <c r="IB196" s="21"/>
      <c r="IC196" s="21"/>
      <c r="ID196" s="21"/>
      <c r="IE196" s="21"/>
      <c r="IF196" s="21"/>
      <c r="IG196" s="21"/>
      <c r="IH196" s="21"/>
      <c r="II196" s="21"/>
      <c r="IJ196" s="21"/>
      <c r="IK196" s="21"/>
      <c r="IL196" s="21"/>
      <c r="IM196" s="21"/>
      <c r="IN196" s="21"/>
      <c r="IO196" s="21"/>
      <c r="IP196" s="21"/>
      <c r="IQ196" s="21"/>
      <c r="IR196" s="21"/>
      <c r="IS196" s="21"/>
      <c r="IT196" s="21"/>
    </row>
    <row r="197" spans="1:254" s="3" customFormat="1" ht="27" customHeight="1">
      <c r="A197" s="11">
        <v>195</v>
      </c>
      <c r="B197" s="13" t="str">
        <f>"许兰兰"</f>
        <v>许兰兰</v>
      </c>
      <c r="C197" s="13" t="s">
        <v>13</v>
      </c>
      <c r="D197" s="13" t="str">
        <f>"230702104728"</f>
        <v>230702104728</v>
      </c>
      <c r="E197" s="18">
        <v>68.965</v>
      </c>
      <c r="F197" s="19" t="s">
        <v>10</v>
      </c>
      <c r="G197" s="19" t="s">
        <v>10</v>
      </c>
      <c r="H197" s="18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  <c r="GN197" s="20"/>
      <c r="GO197" s="20"/>
      <c r="GP197" s="20"/>
      <c r="GQ197" s="20"/>
      <c r="GR197" s="20"/>
      <c r="GS197" s="20"/>
      <c r="GT197" s="21"/>
      <c r="GU197" s="21"/>
      <c r="GV197" s="21"/>
      <c r="GW197" s="21"/>
      <c r="GX197" s="21"/>
      <c r="GY197" s="21"/>
      <c r="GZ197" s="21"/>
      <c r="HA197" s="21"/>
      <c r="HB197" s="21"/>
      <c r="HC197" s="21"/>
      <c r="HD197" s="21"/>
      <c r="HE197" s="21"/>
      <c r="HF197" s="21"/>
      <c r="HG197" s="21"/>
      <c r="HH197" s="21"/>
      <c r="HI197" s="21"/>
      <c r="HJ197" s="21"/>
      <c r="HK197" s="21"/>
      <c r="HL197" s="21"/>
      <c r="HM197" s="21"/>
      <c r="HN197" s="21"/>
      <c r="HO197" s="21"/>
      <c r="HP197" s="21"/>
      <c r="HQ197" s="21"/>
      <c r="HR197" s="21"/>
      <c r="HS197" s="21"/>
      <c r="HT197" s="21"/>
      <c r="HU197" s="21"/>
      <c r="HV197" s="21"/>
      <c r="HW197" s="21"/>
      <c r="HX197" s="21"/>
      <c r="HY197" s="21"/>
      <c r="HZ197" s="21"/>
      <c r="IA197" s="21"/>
      <c r="IB197" s="21"/>
      <c r="IC197" s="21"/>
      <c r="ID197" s="21"/>
      <c r="IE197" s="21"/>
      <c r="IF197" s="21"/>
      <c r="IG197" s="21"/>
      <c r="IH197" s="21"/>
      <c r="II197" s="21"/>
      <c r="IJ197" s="21"/>
      <c r="IK197" s="21"/>
      <c r="IL197" s="21"/>
      <c r="IM197" s="21"/>
      <c r="IN197" s="21"/>
      <c r="IO197" s="21"/>
      <c r="IP197" s="21"/>
      <c r="IQ197" s="21"/>
      <c r="IR197" s="21"/>
      <c r="IS197" s="21"/>
      <c r="IT197" s="21"/>
    </row>
    <row r="198" spans="1:254" s="3" customFormat="1" ht="27" customHeight="1">
      <c r="A198" s="11">
        <v>196</v>
      </c>
      <c r="B198" s="13" t="str">
        <f>"叶咪咪"</f>
        <v>叶咪咪</v>
      </c>
      <c r="C198" s="13" t="s">
        <v>13</v>
      </c>
      <c r="D198" s="13" t="str">
        <f>"230702105221"</f>
        <v>230702105221</v>
      </c>
      <c r="E198" s="18">
        <v>68.735</v>
      </c>
      <c r="F198" s="19" t="s">
        <v>10</v>
      </c>
      <c r="G198" s="19" t="s">
        <v>10</v>
      </c>
      <c r="H198" s="18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  <c r="GN198" s="20"/>
      <c r="GO198" s="20"/>
      <c r="GP198" s="20"/>
      <c r="GQ198" s="20"/>
      <c r="GR198" s="20"/>
      <c r="GS198" s="20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  <c r="HZ198" s="21"/>
      <c r="IA198" s="21"/>
      <c r="IB198" s="21"/>
      <c r="IC198" s="21"/>
      <c r="ID198" s="21"/>
      <c r="IE198" s="21"/>
      <c r="IF198" s="21"/>
      <c r="IG198" s="21"/>
      <c r="IH198" s="21"/>
      <c r="II198" s="21"/>
      <c r="IJ198" s="21"/>
      <c r="IK198" s="21"/>
      <c r="IL198" s="21"/>
      <c r="IM198" s="21"/>
      <c r="IN198" s="21"/>
      <c r="IO198" s="21"/>
      <c r="IP198" s="21"/>
      <c r="IQ198" s="21"/>
      <c r="IR198" s="21"/>
      <c r="IS198" s="21"/>
      <c r="IT198" s="21"/>
    </row>
    <row r="199" spans="1:254" s="3" customFormat="1" ht="27" customHeight="1">
      <c r="A199" s="11">
        <v>197</v>
      </c>
      <c r="B199" s="13" t="str">
        <f>"宁慧婕"</f>
        <v>宁慧婕</v>
      </c>
      <c r="C199" s="13" t="s">
        <v>13</v>
      </c>
      <c r="D199" s="13" t="str">
        <f>"230702104424"</f>
        <v>230702104424</v>
      </c>
      <c r="E199" s="18">
        <v>68.58500000000001</v>
      </c>
      <c r="F199" s="19" t="s">
        <v>10</v>
      </c>
      <c r="G199" s="19" t="s">
        <v>10</v>
      </c>
      <c r="H199" s="18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  <c r="GN199" s="20"/>
      <c r="GO199" s="20"/>
      <c r="GP199" s="20"/>
      <c r="GQ199" s="20"/>
      <c r="GR199" s="20"/>
      <c r="GS199" s="20"/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  <c r="HZ199" s="21"/>
      <c r="IA199" s="21"/>
      <c r="IB199" s="21"/>
      <c r="IC199" s="21"/>
      <c r="ID199" s="21"/>
      <c r="IE199" s="21"/>
      <c r="IF199" s="21"/>
      <c r="IG199" s="21"/>
      <c r="IH199" s="21"/>
      <c r="II199" s="21"/>
      <c r="IJ199" s="21"/>
      <c r="IK199" s="21"/>
      <c r="IL199" s="21"/>
      <c r="IM199" s="21"/>
      <c r="IN199" s="21"/>
      <c r="IO199" s="21"/>
      <c r="IP199" s="21"/>
      <c r="IQ199" s="21"/>
      <c r="IR199" s="21"/>
      <c r="IS199" s="21"/>
      <c r="IT199" s="21"/>
    </row>
    <row r="200" spans="1:254" s="3" customFormat="1" ht="27" customHeight="1">
      <c r="A200" s="11">
        <v>198</v>
      </c>
      <c r="B200" s="13" t="str">
        <f>"洪玥莹"</f>
        <v>洪玥莹</v>
      </c>
      <c r="C200" s="13" t="s">
        <v>13</v>
      </c>
      <c r="D200" s="13" t="str">
        <f>"230702103611"</f>
        <v>230702103611</v>
      </c>
      <c r="E200" s="18">
        <v>68.38499999999999</v>
      </c>
      <c r="F200" s="19" t="s">
        <v>10</v>
      </c>
      <c r="G200" s="19" t="s">
        <v>10</v>
      </c>
      <c r="H200" s="18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  <c r="GN200" s="20"/>
      <c r="GO200" s="20"/>
      <c r="GP200" s="20"/>
      <c r="GQ200" s="20"/>
      <c r="GR200" s="20"/>
      <c r="GS200" s="20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  <c r="HZ200" s="21"/>
      <c r="IA200" s="21"/>
      <c r="IB200" s="21"/>
      <c r="IC200" s="21"/>
      <c r="ID200" s="21"/>
      <c r="IE200" s="21"/>
      <c r="IF200" s="21"/>
      <c r="IG200" s="21"/>
      <c r="IH200" s="21"/>
      <c r="II200" s="21"/>
      <c r="IJ200" s="21"/>
      <c r="IK200" s="21"/>
      <c r="IL200" s="21"/>
      <c r="IM200" s="21"/>
      <c r="IN200" s="21"/>
      <c r="IO200" s="21"/>
      <c r="IP200" s="21"/>
      <c r="IQ200" s="21"/>
      <c r="IR200" s="21"/>
      <c r="IS200" s="21"/>
      <c r="IT200" s="21"/>
    </row>
    <row r="201" spans="1:254" s="3" customFormat="1" ht="27" customHeight="1">
      <c r="A201" s="11">
        <v>199</v>
      </c>
      <c r="B201" s="13" t="str">
        <f>"林紫衣"</f>
        <v>林紫衣</v>
      </c>
      <c r="C201" s="13" t="s">
        <v>13</v>
      </c>
      <c r="D201" s="13" t="str">
        <f>"230702104520"</f>
        <v>230702104520</v>
      </c>
      <c r="E201" s="18">
        <v>68.2</v>
      </c>
      <c r="F201" s="19" t="s">
        <v>10</v>
      </c>
      <c r="G201" s="19" t="s">
        <v>10</v>
      </c>
      <c r="H201" s="18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  <c r="GN201" s="20"/>
      <c r="GO201" s="20"/>
      <c r="GP201" s="20"/>
      <c r="GQ201" s="20"/>
      <c r="GR201" s="20"/>
      <c r="GS201" s="20"/>
      <c r="GT201" s="21"/>
      <c r="GU201" s="21"/>
      <c r="GV201" s="21"/>
      <c r="GW201" s="21"/>
      <c r="GX201" s="21"/>
      <c r="GY201" s="21"/>
      <c r="GZ201" s="21"/>
      <c r="HA201" s="21"/>
      <c r="HB201" s="21"/>
      <c r="HC201" s="21"/>
      <c r="HD201" s="21"/>
      <c r="HE201" s="21"/>
      <c r="HF201" s="21"/>
      <c r="HG201" s="21"/>
      <c r="HH201" s="21"/>
      <c r="HI201" s="21"/>
      <c r="HJ201" s="21"/>
      <c r="HK201" s="21"/>
      <c r="HL201" s="21"/>
      <c r="HM201" s="21"/>
      <c r="HN201" s="21"/>
      <c r="HO201" s="21"/>
      <c r="HP201" s="21"/>
      <c r="HQ201" s="21"/>
      <c r="HR201" s="21"/>
      <c r="HS201" s="21"/>
      <c r="HT201" s="21"/>
      <c r="HU201" s="21"/>
      <c r="HV201" s="21"/>
      <c r="HW201" s="21"/>
      <c r="HX201" s="21"/>
      <c r="HY201" s="21"/>
      <c r="HZ201" s="21"/>
      <c r="IA201" s="21"/>
      <c r="IB201" s="21"/>
      <c r="IC201" s="21"/>
      <c r="ID201" s="21"/>
      <c r="IE201" s="21"/>
      <c r="IF201" s="21"/>
      <c r="IG201" s="21"/>
      <c r="IH201" s="21"/>
      <c r="II201" s="21"/>
      <c r="IJ201" s="21"/>
      <c r="IK201" s="21"/>
      <c r="IL201" s="21"/>
      <c r="IM201" s="21"/>
      <c r="IN201" s="21"/>
      <c r="IO201" s="21"/>
      <c r="IP201" s="21"/>
      <c r="IQ201" s="21"/>
      <c r="IR201" s="21"/>
      <c r="IS201" s="21"/>
      <c r="IT201" s="21"/>
    </row>
    <row r="202" spans="1:254" s="3" customFormat="1" ht="27" customHeight="1">
      <c r="A202" s="11">
        <v>200</v>
      </c>
      <c r="B202" s="13" t="str">
        <f>"黄诗勤"</f>
        <v>黄诗勤</v>
      </c>
      <c r="C202" s="13" t="s">
        <v>13</v>
      </c>
      <c r="D202" s="13" t="str">
        <f>"230702105629"</f>
        <v>230702105629</v>
      </c>
      <c r="E202" s="18">
        <v>67.85</v>
      </c>
      <c r="F202" s="19" t="s">
        <v>10</v>
      </c>
      <c r="G202" s="19" t="s">
        <v>10</v>
      </c>
      <c r="H202" s="18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  <c r="GN202" s="20"/>
      <c r="GO202" s="20"/>
      <c r="GP202" s="20"/>
      <c r="GQ202" s="20"/>
      <c r="GR202" s="20"/>
      <c r="GS202" s="20"/>
      <c r="GT202" s="21"/>
      <c r="GU202" s="21"/>
      <c r="GV202" s="21"/>
      <c r="GW202" s="21"/>
      <c r="GX202" s="21"/>
      <c r="GY202" s="21"/>
      <c r="GZ202" s="21"/>
      <c r="HA202" s="21"/>
      <c r="HB202" s="21"/>
      <c r="HC202" s="21"/>
      <c r="HD202" s="21"/>
      <c r="HE202" s="21"/>
      <c r="HF202" s="21"/>
      <c r="HG202" s="21"/>
      <c r="HH202" s="21"/>
      <c r="HI202" s="21"/>
      <c r="HJ202" s="21"/>
      <c r="HK202" s="21"/>
      <c r="HL202" s="21"/>
      <c r="HM202" s="21"/>
      <c r="HN202" s="21"/>
      <c r="HO202" s="21"/>
      <c r="HP202" s="21"/>
      <c r="HQ202" s="21"/>
      <c r="HR202" s="21"/>
      <c r="HS202" s="21"/>
      <c r="HT202" s="21"/>
      <c r="HU202" s="21"/>
      <c r="HV202" s="21"/>
      <c r="HW202" s="21"/>
      <c r="HX202" s="21"/>
      <c r="HY202" s="21"/>
      <c r="HZ202" s="21"/>
      <c r="IA202" s="21"/>
      <c r="IB202" s="21"/>
      <c r="IC202" s="21"/>
      <c r="ID202" s="21"/>
      <c r="IE202" s="21"/>
      <c r="IF202" s="21"/>
      <c r="IG202" s="21"/>
      <c r="IH202" s="21"/>
      <c r="II202" s="21"/>
      <c r="IJ202" s="21"/>
      <c r="IK202" s="21"/>
      <c r="IL202" s="21"/>
      <c r="IM202" s="21"/>
      <c r="IN202" s="21"/>
      <c r="IO202" s="21"/>
      <c r="IP202" s="21"/>
      <c r="IQ202" s="21"/>
      <c r="IR202" s="21"/>
      <c r="IS202" s="21"/>
      <c r="IT202" s="21"/>
    </row>
    <row r="203" spans="1:254" s="3" customFormat="1" ht="27" customHeight="1">
      <c r="A203" s="11">
        <v>201</v>
      </c>
      <c r="B203" s="13" t="str">
        <f>"陈旋"</f>
        <v>陈旋</v>
      </c>
      <c r="C203" s="13" t="s">
        <v>13</v>
      </c>
      <c r="D203" s="13" t="str">
        <f>"230702104209"</f>
        <v>230702104209</v>
      </c>
      <c r="E203" s="18">
        <v>67.435</v>
      </c>
      <c r="F203" s="19" t="s">
        <v>10</v>
      </c>
      <c r="G203" s="19" t="s">
        <v>10</v>
      </c>
      <c r="H203" s="18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  <c r="GN203" s="20"/>
      <c r="GO203" s="20"/>
      <c r="GP203" s="20"/>
      <c r="GQ203" s="20"/>
      <c r="GR203" s="20"/>
      <c r="GS203" s="20"/>
      <c r="GT203" s="21"/>
      <c r="GU203" s="21"/>
      <c r="GV203" s="21"/>
      <c r="GW203" s="21"/>
      <c r="GX203" s="21"/>
      <c r="GY203" s="21"/>
      <c r="GZ203" s="21"/>
      <c r="HA203" s="21"/>
      <c r="HB203" s="21"/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  <c r="HV203" s="21"/>
      <c r="HW203" s="21"/>
      <c r="HX203" s="21"/>
      <c r="HY203" s="21"/>
      <c r="HZ203" s="21"/>
      <c r="IA203" s="21"/>
      <c r="IB203" s="21"/>
      <c r="IC203" s="21"/>
      <c r="ID203" s="21"/>
      <c r="IE203" s="21"/>
      <c r="IF203" s="21"/>
      <c r="IG203" s="21"/>
      <c r="IH203" s="21"/>
      <c r="II203" s="21"/>
      <c r="IJ203" s="21"/>
      <c r="IK203" s="21"/>
      <c r="IL203" s="21"/>
      <c r="IM203" s="21"/>
      <c r="IN203" s="21"/>
      <c r="IO203" s="21"/>
      <c r="IP203" s="21"/>
      <c r="IQ203" s="21"/>
      <c r="IR203" s="21"/>
      <c r="IS203" s="21"/>
      <c r="IT203" s="21"/>
    </row>
    <row r="204" spans="1:254" s="3" customFormat="1" ht="27" customHeight="1">
      <c r="A204" s="11">
        <v>202</v>
      </c>
      <c r="B204" s="13" t="str">
        <f>"洪家蔓"</f>
        <v>洪家蔓</v>
      </c>
      <c r="C204" s="13" t="s">
        <v>13</v>
      </c>
      <c r="D204" s="13" t="str">
        <f>"230702104617"</f>
        <v>230702104617</v>
      </c>
      <c r="E204" s="18">
        <v>67.435</v>
      </c>
      <c r="F204" s="19" t="s">
        <v>10</v>
      </c>
      <c r="G204" s="19" t="s">
        <v>10</v>
      </c>
      <c r="H204" s="18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  <c r="GB204" s="20"/>
      <c r="GC204" s="20"/>
      <c r="GD204" s="20"/>
      <c r="GE204" s="20"/>
      <c r="GF204" s="20"/>
      <c r="GG204" s="20"/>
      <c r="GH204" s="20"/>
      <c r="GI204" s="20"/>
      <c r="GJ204" s="20"/>
      <c r="GK204" s="20"/>
      <c r="GL204" s="20"/>
      <c r="GM204" s="20"/>
      <c r="GN204" s="20"/>
      <c r="GO204" s="20"/>
      <c r="GP204" s="20"/>
      <c r="GQ204" s="20"/>
      <c r="GR204" s="20"/>
      <c r="GS204" s="20"/>
      <c r="GT204" s="21"/>
      <c r="GU204" s="21"/>
      <c r="GV204" s="21"/>
      <c r="GW204" s="21"/>
      <c r="GX204" s="21"/>
      <c r="GY204" s="21"/>
      <c r="GZ204" s="21"/>
      <c r="HA204" s="21"/>
      <c r="HB204" s="21"/>
      <c r="HC204" s="21"/>
      <c r="HD204" s="21"/>
      <c r="HE204" s="21"/>
      <c r="HF204" s="21"/>
      <c r="HG204" s="21"/>
      <c r="HH204" s="21"/>
      <c r="HI204" s="21"/>
      <c r="HJ204" s="21"/>
      <c r="HK204" s="21"/>
      <c r="HL204" s="21"/>
      <c r="HM204" s="21"/>
      <c r="HN204" s="21"/>
      <c r="HO204" s="21"/>
      <c r="HP204" s="21"/>
      <c r="HQ204" s="21"/>
      <c r="HR204" s="21"/>
      <c r="HS204" s="21"/>
      <c r="HT204" s="21"/>
      <c r="HU204" s="21"/>
      <c r="HV204" s="21"/>
      <c r="HW204" s="21"/>
      <c r="HX204" s="21"/>
      <c r="HY204" s="21"/>
      <c r="HZ204" s="21"/>
      <c r="IA204" s="21"/>
      <c r="IB204" s="21"/>
      <c r="IC204" s="21"/>
      <c r="ID204" s="21"/>
      <c r="IE204" s="21"/>
      <c r="IF204" s="21"/>
      <c r="IG204" s="21"/>
      <c r="IH204" s="21"/>
      <c r="II204" s="21"/>
      <c r="IJ204" s="21"/>
      <c r="IK204" s="21"/>
      <c r="IL204" s="21"/>
      <c r="IM204" s="21"/>
      <c r="IN204" s="21"/>
      <c r="IO204" s="21"/>
      <c r="IP204" s="21"/>
      <c r="IQ204" s="21"/>
      <c r="IR204" s="21"/>
      <c r="IS204" s="21"/>
      <c r="IT204" s="21"/>
    </row>
    <row r="205" spans="1:254" s="3" customFormat="1" ht="27" customHeight="1">
      <c r="A205" s="11">
        <v>203</v>
      </c>
      <c r="B205" s="13" t="str">
        <f>"张子贞"</f>
        <v>张子贞</v>
      </c>
      <c r="C205" s="13" t="s">
        <v>13</v>
      </c>
      <c r="D205" s="13" t="str">
        <f>"230702104712"</f>
        <v>230702104712</v>
      </c>
      <c r="E205" s="18">
        <v>67.315</v>
      </c>
      <c r="F205" s="19" t="s">
        <v>10</v>
      </c>
      <c r="G205" s="19" t="s">
        <v>10</v>
      </c>
      <c r="H205" s="18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0"/>
      <c r="FY205" s="20"/>
      <c r="FZ205" s="20"/>
      <c r="GA205" s="20"/>
      <c r="GB205" s="20"/>
      <c r="GC205" s="20"/>
      <c r="GD205" s="20"/>
      <c r="GE205" s="20"/>
      <c r="GF205" s="20"/>
      <c r="GG205" s="20"/>
      <c r="GH205" s="20"/>
      <c r="GI205" s="20"/>
      <c r="GJ205" s="20"/>
      <c r="GK205" s="20"/>
      <c r="GL205" s="20"/>
      <c r="GM205" s="20"/>
      <c r="GN205" s="20"/>
      <c r="GO205" s="20"/>
      <c r="GP205" s="20"/>
      <c r="GQ205" s="20"/>
      <c r="GR205" s="20"/>
      <c r="GS205" s="20"/>
      <c r="GT205" s="21"/>
      <c r="GU205" s="21"/>
      <c r="GV205" s="21"/>
      <c r="GW205" s="21"/>
      <c r="GX205" s="21"/>
      <c r="GY205" s="21"/>
      <c r="GZ205" s="21"/>
      <c r="HA205" s="21"/>
      <c r="HB205" s="21"/>
      <c r="HC205" s="21"/>
      <c r="HD205" s="21"/>
      <c r="HE205" s="21"/>
      <c r="HF205" s="21"/>
      <c r="HG205" s="21"/>
      <c r="HH205" s="21"/>
      <c r="HI205" s="21"/>
      <c r="HJ205" s="21"/>
      <c r="HK205" s="21"/>
      <c r="HL205" s="21"/>
      <c r="HM205" s="21"/>
      <c r="HN205" s="21"/>
      <c r="HO205" s="21"/>
      <c r="HP205" s="21"/>
      <c r="HQ205" s="21"/>
      <c r="HR205" s="21"/>
      <c r="HS205" s="21"/>
      <c r="HT205" s="21"/>
      <c r="HU205" s="21"/>
      <c r="HV205" s="21"/>
      <c r="HW205" s="21"/>
      <c r="HX205" s="21"/>
      <c r="HY205" s="21"/>
      <c r="HZ205" s="21"/>
      <c r="IA205" s="21"/>
      <c r="IB205" s="21"/>
      <c r="IC205" s="21"/>
      <c r="ID205" s="21"/>
      <c r="IE205" s="21"/>
      <c r="IF205" s="21"/>
      <c r="IG205" s="21"/>
      <c r="IH205" s="21"/>
      <c r="II205" s="21"/>
      <c r="IJ205" s="21"/>
      <c r="IK205" s="21"/>
      <c r="IL205" s="21"/>
      <c r="IM205" s="21"/>
      <c r="IN205" s="21"/>
      <c r="IO205" s="21"/>
      <c r="IP205" s="21"/>
      <c r="IQ205" s="21"/>
      <c r="IR205" s="21"/>
      <c r="IS205" s="21"/>
      <c r="IT205" s="21"/>
    </row>
    <row r="206" spans="1:254" s="3" customFormat="1" ht="27" customHeight="1">
      <c r="A206" s="11">
        <v>204</v>
      </c>
      <c r="B206" s="13" t="str">
        <f>"符方怡"</f>
        <v>符方怡</v>
      </c>
      <c r="C206" s="13" t="s">
        <v>13</v>
      </c>
      <c r="D206" s="13" t="str">
        <f>"230702104422"</f>
        <v>230702104422</v>
      </c>
      <c r="E206" s="18">
        <v>67.16499999999999</v>
      </c>
      <c r="F206" s="19" t="s">
        <v>10</v>
      </c>
      <c r="G206" s="19" t="s">
        <v>10</v>
      </c>
      <c r="H206" s="18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  <c r="GB206" s="20"/>
      <c r="GC206" s="20"/>
      <c r="GD206" s="20"/>
      <c r="GE206" s="20"/>
      <c r="GF206" s="20"/>
      <c r="GG206" s="20"/>
      <c r="GH206" s="20"/>
      <c r="GI206" s="20"/>
      <c r="GJ206" s="20"/>
      <c r="GK206" s="20"/>
      <c r="GL206" s="20"/>
      <c r="GM206" s="20"/>
      <c r="GN206" s="20"/>
      <c r="GO206" s="20"/>
      <c r="GP206" s="20"/>
      <c r="GQ206" s="20"/>
      <c r="GR206" s="20"/>
      <c r="GS206" s="20"/>
      <c r="GT206" s="21"/>
      <c r="GU206" s="21"/>
      <c r="GV206" s="21"/>
      <c r="GW206" s="21"/>
      <c r="GX206" s="21"/>
      <c r="GY206" s="21"/>
      <c r="GZ206" s="21"/>
      <c r="HA206" s="21"/>
      <c r="HB206" s="21"/>
      <c r="HC206" s="21"/>
      <c r="HD206" s="21"/>
      <c r="HE206" s="21"/>
      <c r="HF206" s="21"/>
      <c r="HG206" s="21"/>
      <c r="HH206" s="21"/>
      <c r="HI206" s="21"/>
      <c r="HJ206" s="21"/>
      <c r="HK206" s="21"/>
      <c r="HL206" s="21"/>
      <c r="HM206" s="21"/>
      <c r="HN206" s="21"/>
      <c r="HO206" s="21"/>
      <c r="HP206" s="21"/>
      <c r="HQ206" s="21"/>
      <c r="HR206" s="21"/>
      <c r="HS206" s="21"/>
      <c r="HT206" s="21"/>
      <c r="HU206" s="21"/>
      <c r="HV206" s="21"/>
      <c r="HW206" s="21"/>
      <c r="HX206" s="21"/>
      <c r="HY206" s="21"/>
      <c r="HZ206" s="21"/>
      <c r="IA206" s="21"/>
      <c r="IB206" s="21"/>
      <c r="IC206" s="21"/>
      <c r="ID206" s="21"/>
      <c r="IE206" s="21"/>
      <c r="IF206" s="21"/>
      <c r="IG206" s="21"/>
      <c r="IH206" s="21"/>
      <c r="II206" s="21"/>
      <c r="IJ206" s="21"/>
      <c r="IK206" s="21"/>
      <c r="IL206" s="21"/>
      <c r="IM206" s="21"/>
      <c r="IN206" s="21"/>
      <c r="IO206" s="21"/>
      <c r="IP206" s="21"/>
      <c r="IQ206" s="21"/>
      <c r="IR206" s="21"/>
      <c r="IS206" s="21"/>
      <c r="IT206" s="21"/>
    </row>
    <row r="207" spans="1:254" s="3" customFormat="1" ht="27" customHeight="1">
      <c r="A207" s="11">
        <v>205</v>
      </c>
      <c r="B207" s="13" t="str">
        <f>"陈素桦"</f>
        <v>陈素桦</v>
      </c>
      <c r="C207" s="13" t="s">
        <v>13</v>
      </c>
      <c r="D207" s="13" t="str">
        <f>"230702105106"</f>
        <v>230702105106</v>
      </c>
      <c r="E207" s="18">
        <v>67.13499999999999</v>
      </c>
      <c r="F207" s="19" t="s">
        <v>10</v>
      </c>
      <c r="G207" s="19" t="s">
        <v>10</v>
      </c>
      <c r="H207" s="18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  <c r="GD207" s="20"/>
      <c r="GE207" s="20"/>
      <c r="GF207" s="20"/>
      <c r="GG207" s="20"/>
      <c r="GH207" s="20"/>
      <c r="GI207" s="20"/>
      <c r="GJ207" s="20"/>
      <c r="GK207" s="20"/>
      <c r="GL207" s="20"/>
      <c r="GM207" s="20"/>
      <c r="GN207" s="20"/>
      <c r="GO207" s="20"/>
      <c r="GP207" s="20"/>
      <c r="GQ207" s="20"/>
      <c r="GR207" s="20"/>
      <c r="GS207" s="20"/>
      <c r="GT207" s="21"/>
      <c r="GU207" s="21"/>
      <c r="GV207" s="21"/>
      <c r="GW207" s="21"/>
      <c r="GX207" s="21"/>
      <c r="GY207" s="21"/>
      <c r="GZ207" s="21"/>
      <c r="HA207" s="21"/>
      <c r="HB207" s="21"/>
      <c r="HC207" s="21"/>
      <c r="HD207" s="21"/>
      <c r="HE207" s="21"/>
      <c r="HF207" s="21"/>
      <c r="HG207" s="21"/>
      <c r="HH207" s="21"/>
      <c r="HI207" s="21"/>
      <c r="HJ207" s="21"/>
      <c r="HK207" s="21"/>
      <c r="HL207" s="21"/>
      <c r="HM207" s="21"/>
      <c r="HN207" s="21"/>
      <c r="HO207" s="21"/>
      <c r="HP207" s="21"/>
      <c r="HQ207" s="21"/>
      <c r="HR207" s="21"/>
      <c r="HS207" s="21"/>
      <c r="HT207" s="21"/>
      <c r="HU207" s="21"/>
      <c r="HV207" s="21"/>
      <c r="HW207" s="21"/>
      <c r="HX207" s="21"/>
      <c r="HY207" s="21"/>
      <c r="HZ207" s="21"/>
      <c r="IA207" s="21"/>
      <c r="IB207" s="21"/>
      <c r="IC207" s="21"/>
      <c r="ID207" s="21"/>
      <c r="IE207" s="21"/>
      <c r="IF207" s="21"/>
      <c r="IG207" s="21"/>
      <c r="IH207" s="21"/>
      <c r="II207" s="21"/>
      <c r="IJ207" s="21"/>
      <c r="IK207" s="21"/>
      <c r="IL207" s="21"/>
      <c r="IM207" s="21"/>
      <c r="IN207" s="21"/>
      <c r="IO207" s="21"/>
      <c r="IP207" s="21"/>
      <c r="IQ207" s="21"/>
      <c r="IR207" s="21"/>
      <c r="IS207" s="21"/>
      <c r="IT207" s="21"/>
    </row>
    <row r="208" spans="1:254" s="3" customFormat="1" ht="27" customHeight="1">
      <c r="A208" s="11">
        <v>206</v>
      </c>
      <c r="B208" s="13" t="str">
        <f>"刘玉菲"</f>
        <v>刘玉菲</v>
      </c>
      <c r="C208" s="13" t="s">
        <v>13</v>
      </c>
      <c r="D208" s="13" t="str">
        <f>"230702105229"</f>
        <v>230702105229</v>
      </c>
      <c r="E208" s="18">
        <v>67.015</v>
      </c>
      <c r="F208" s="19" t="s">
        <v>10</v>
      </c>
      <c r="G208" s="19" t="s">
        <v>10</v>
      </c>
      <c r="H208" s="18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/>
      <c r="GK208" s="20"/>
      <c r="GL208" s="20"/>
      <c r="GM208" s="20"/>
      <c r="GN208" s="20"/>
      <c r="GO208" s="20"/>
      <c r="GP208" s="20"/>
      <c r="GQ208" s="20"/>
      <c r="GR208" s="20"/>
      <c r="GS208" s="20"/>
      <c r="GT208" s="21"/>
      <c r="GU208" s="21"/>
      <c r="GV208" s="21"/>
      <c r="GW208" s="21"/>
      <c r="GX208" s="21"/>
      <c r="GY208" s="21"/>
      <c r="GZ208" s="21"/>
      <c r="HA208" s="21"/>
      <c r="HB208" s="21"/>
      <c r="HC208" s="21"/>
      <c r="HD208" s="21"/>
      <c r="HE208" s="21"/>
      <c r="HF208" s="21"/>
      <c r="HG208" s="21"/>
      <c r="HH208" s="21"/>
      <c r="HI208" s="21"/>
      <c r="HJ208" s="21"/>
      <c r="HK208" s="21"/>
      <c r="HL208" s="21"/>
      <c r="HM208" s="21"/>
      <c r="HN208" s="21"/>
      <c r="HO208" s="21"/>
      <c r="HP208" s="21"/>
      <c r="HQ208" s="21"/>
      <c r="HR208" s="21"/>
      <c r="HS208" s="21"/>
      <c r="HT208" s="21"/>
      <c r="HU208" s="21"/>
      <c r="HV208" s="21"/>
      <c r="HW208" s="21"/>
      <c r="HX208" s="21"/>
      <c r="HY208" s="21"/>
      <c r="HZ208" s="21"/>
      <c r="IA208" s="21"/>
      <c r="IB208" s="21"/>
      <c r="IC208" s="21"/>
      <c r="ID208" s="21"/>
      <c r="IE208" s="21"/>
      <c r="IF208" s="21"/>
      <c r="IG208" s="21"/>
      <c r="IH208" s="21"/>
      <c r="II208" s="21"/>
      <c r="IJ208" s="21"/>
      <c r="IK208" s="21"/>
      <c r="IL208" s="21"/>
      <c r="IM208" s="21"/>
      <c r="IN208" s="21"/>
      <c r="IO208" s="21"/>
      <c r="IP208" s="21"/>
      <c r="IQ208" s="21"/>
      <c r="IR208" s="21"/>
      <c r="IS208" s="21"/>
      <c r="IT208" s="21"/>
    </row>
    <row r="209" spans="1:254" s="3" customFormat="1" ht="27" customHeight="1">
      <c r="A209" s="11">
        <v>207</v>
      </c>
      <c r="B209" s="13" t="str">
        <f>"卢薇"</f>
        <v>卢薇</v>
      </c>
      <c r="C209" s="13" t="s">
        <v>13</v>
      </c>
      <c r="D209" s="13" t="str">
        <f>"230702104909"</f>
        <v>230702104909</v>
      </c>
      <c r="E209" s="18">
        <v>66.91499999999999</v>
      </c>
      <c r="F209" s="19" t="s">
        <v>10</v>
      </c>
      <c r="G209" s="19" t="s">
        <v>10</v>
      </c>
      <c r="H209" s="18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  <c r="FW209" s="20"/>
      <c r="FX209" s="20"/>
      <c r="FY209" s="20"/>
      <c r="FZ209" s="20"/>
      <c r="GA209" s="20"/>
      <c r="GB209" s="20"/>
      <c r="GC209" s="20"/>
      <c r="GD209" s="20"/>
      <c r="GE209" s="20"/>
      <c r="GF209" s="20"/>
      <c r="GG209" s="20"/>
      <c r="GH209" s="20"/>
      <c r="GI209" s="20"/>
      <c r="GJ209" s="20"/>
      <c r="GK209" s="20"/>
      <c r="GL209" s="20"/>
      <c r="GM209" s="20"/>
      <c r="GN209" s="20"/>
      <c r="GO209" s="20"/>
      <c r="GP209" s="20"/>
      <c r="GQ209" s="20"/>
      <c r="GR209" s="20"/>
      <c r="GS209" s="20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  <c r="ID209" s="21"/>
      <c r="IE209" s="21"/>
      <c r="IF209" s="21"/>
      <c r="IG209" s="21"/>
      <c r="IH209" s="21"/>
      <c r="II209" s="21"/>
      <c r="IJ209" s="21"/>
      <c r="IK209" s="21"/>
      <c r="IL209" s="21"/>
      <c r="IM209" s="21"/>
      <c r="IN209" s="21"/>
      <c r="IO209" s="21"/>
      <c r="IP209" s="21"/>
      <c r="IQ209" s="21"/>
      <c r="IR209" s="21"/>
      <c r="IS209" s="21"/>
      <c r="IT209" s="21"/>
    </row>
    <row r="210" spans="1:254" s="3" customFormat="1" ht="27" customHeight="1">
      <c r="A210" s="11">
        <v>208</v>
      </c>
      <c r="B210" s="13" t="str">
        <f>"李艳"</f>
        <v>李艳</v>
      </c>
      <c r="C210" s="13" t="s">
        <v>13</v>
      </c>
      <c r="D210" s="13" t="str">
        <f>"230702105616"</f>
        <v>230702105616</v>
      </c>
      <c r="E210" s="18">
        <v>66.765</v>
      </c>
      <c r="F210" s="19" t="s">
        <v>10</v>
      </c>
      <c r="G210" s="19" t="s">
        <v>10</v>
      </c>
      <c r="H210" s="18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  <c r="GN210" s="20"/>
      <c r="GO210" s="20"/>
      <c r="GP210" s="20"/>
      <c r="GQ210" s="20"/>
      <c r="GR210" s="20"/>
      <c r="GS210" s="20"/>
      <c r="GT210" s="21"/>
      <c r="GU210" s="21"/>
      <c r="GV210" s="21"/>
      <c r="GW210" s="21"/>
      <c r="GX210" s="21"/>
      <c r="GY210" s="21"/>
      <c r="GZ210" s="21"/>
      <c r="HA210" s="21"/>
      <c r="HB210" s="21"/>
      <c r="HC210" s="21"/>
      <c r="HD210" s="21"/>
      <c r="HE210" s="21"/>
      <c r="HF210" s="21"/>
      <c r="HG210" s="21"/>
      <c r="HH210" s="21"/>
      <c r="HI210" s="21"/>
      <c r="HJ210" s="21"/>
      <c r="HK210" s="21"/>
      <c r="HL210" s="21"/>
      <c r="HM210" s="21"/>
      <c r="HN210" s="21"/>
      <c r="HO210" s="21"/>
      <c r="HP210" s="21"/>
      <c r="HQ210" s="21"/>
      <c r="HR210" s="21"/>
      <c r="HS210" s="21"/>
      <c r="HT210" s="21"/>
      <c r="HU210" s="21"/>
      <c r="HV210" s="21"/>
      <c r="HW210" s="21"/>
      <c r="HX210" s="21"/>
      <c r="HY210" s="21"/>
      <c r="HZ210" s="21"/>
      <c r="IA210" s="21"/>
      <c r="IB210" s="21"/>
      <c r="IC210" s="21"/>
      <c r="ID210" s="21"/>
      <c r="IE210" s="21"/>
      <c r="IF210" s="21"/>
      <c r="IG210" s="21"/>
      <c r="IH210" s="21"/>
      <c r="II210" s="21"/>
      <c r="IJ210" s="21"/>
      <c r="IK210" s="21"/>
      <c r="IL210" s="21"/>
      <c r="IM210" s="21"/>
      <c r="IN210" s="21"/>
      <c r="IO210" s="21"/>
      <c r="IP210" s="21"/>
      <c r="IQ210" s="21"/>
      <c r="IR210" s="21"/>
      <c r="IS210" s="21"/>
      <c r="IT210" s="21"/>
    </row>
    <row r="211" spans="1:254" s="3" customFormat="1" ht="27" customHeight="1">
      <c r="A211" s="11">
        <v>209</v>
      </c>
      <c r="B211" s="13" t="str">
        <f>"高咏琦"</f>
        <v>高咏琦</v>
      </c>
      <c r="C211" s="13" t="s">
        <v>13</v>
      </c>
      <c r="D211" s="13" t="str">
        <f>"230702103602"</f>
        <v>230702103602</v>
      </c>
      <c r="E211" s="18">
        <v>66.685</v>
      </c>
      <c r="F211" s="19" t="s">
        <v>10</v>
      </c>
      <c r="G211" s="19" t="s">
        <v>10</v>
      </c>
      <c r="H211" s="18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/>
      <c r="GK211" s="20"/>
      <c r="GL211" s="20"/>
      <c r="GM211" s="20"/>
      <c r="GN211" s="20"/>
      <c r="GO211" s="20"/>
      <c r="GP211" s="20"/>
      <c r="GQ211" s="20"/>
      <c r="GR211" s="20"/>
      <c r="GS211" s="20"/>
      <c r="GT211" s="21"/>
      <c r="GU211" s="21"/>
      <c r="GV211" s="21"/>
      <c r="GW211" s="21"/>
      <c r="GX211" s="21"/>
      <c r="GY211" s="21"/>
      <c r="GZ211" s="21"/>
      <c r="HA211" s="21"/>
      <c r="HB211" s="21"/>
      <c r="HC211" s="21"/>
      <c r="HD211" s="21"/>
      <c r="HE211" s="21"/>
      <c r="HF211" s="21"/>
      <c r="HG211" s="21"/>
      <c r="HH211" s="21"/>
      <c r="HI211" s="21"/>
      <c r="HJ211" s="21"/>
      <c r="HK211" s="21"/>
      <c r="HL211" s="21"/>
      <c r="HM211" s="21"/>
      <c r="HN211" s="21"/>
      <c r="HO211" s="21"/>
      <c r="HP211" s="21"/>
      <c r="HQ211" s="21"/>
      <c r="HR211" s="21"/>
      <c r="HS211" s="21"/>
      <c r="HT211" s="21"/>
      <c r="HU211" s="21"/>
      <c r="HV211" s="21"/>
      <c r="HW211" s="21"/>
      <c r="HX211" s="21"/>
      <c r="HY211" s="21"/>
      <c r="HZ211" s="21"/>
      <c r="IA211" s="21"/>
      <c r="IB211" s="21"/>
      <c r="IC211" s="21"/>
      <c r="ID211" s="21"/>
      <c r="IE211" s="21"/>
      <c r="IF211" s="21"/>
      <c r="IG211" s="21"/>
      <c r="IH211" s="21"/>
      <c r="II211" s="21"/>
      <c r="IJ211" s="21"/>
      <c r="IK211" s="21"/>
      <c r="IL211" s="21"/>
      <c r="IM211" s="21"/>
      <c r="IN211" s="21"/>
      <c r="IO211" s="21"/>
      <c r="IP211" s="21"/>
      <c r="IQ211" s="21"/>
      <c r="IR211" s="21"/>
      <c r="IS211" s="21"/>
      <c r="IT211" s="21"/>
    </row>
    <row r="212" spans="1:254" s="3" customFormat="1" ht="27" customHeight="1">
      <c r="A212" s="11">
        <v>210</v>
      </c>
      <c r="B212" s="13" t="str">
        <f>"李燕"</f>
        <v>李燕</v>
      </c>
      <c r="C212" s="13" t="s">
        <v>13</v>
      </c>
      <c r="D212" s="13" t="str">
        <f>"230702104715"</f>
        <v>230702104715</v>
      </c>
      <c r="E212" s="18">
        <v>66.66499999999999</v>
      </c>
      <c r="F212" s="19" t="s">
        <v>10</v>
      </c>
      <c r="G212" s="19" t="s">
        <v>10</v>
      </c>
      <c r="H212" s="18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  <c r="FW212" s="20"/>
      <c r="FX212" s="20"/>
      <c r="FY212" s="20"/>
      <c r="FZ212" s="20"/>
      <c r="GA212" s="20"/>
      <c r="GB212" s="20"/>
      <c r="GC212" s="20"/>
      <c r="GD212" s="20"/>
      <c r="GE212" s="20"/>
      <c r="GF212" s="20"/>
      <c r="GG212" s="20"/>
      <c r="GH212" s="20"/>
      <c r="GI212" s="20"/>
      <c r="GJ212" s="20"/>
      <c r="GK212" s="20"/>
      <c r="GL212" s="20"/>
      <c r="GM212" s="20"/>
      <c r="GN212" s="20"/>
      <c r="GO212" s="20"/>
      <c r="GP212" s="20"/>
      <c r="GQ212" s="20"/>
      <c r="GR212" s="20"/>
      <c r="GS212" s="20"/>
      <c r="GT212" s="21"/>
      <c r="GU212" s="21"/>
      <c r="GV212" s="21"/>
      <c r="GW212" s="21"/>
      <c r="GX212" s="21"/>
      <c r="GY212" s="21"/>
      <c r="GZ212" s="21"/>
      <c r="HA212" s="21"/>
      <c r="HB212" s="21"/>
      <c r="HC212" s="21"/>
      <c r="HD212" s="21"/>
      <c r="HE212" s="21"/>
      <c r="HF212" s="21"/>
      <c r="HG212" s="21"/>
      <c r="HH212" s="21"/>
      <c r="HI212" s="21"/>
      <c r="HJ212" s="21"/>
      <c r="HK212" s="21"/>
      <c r="HL212" s="21"/>
      <c r="HM212" s="21"/>
      <c r="HN212" s="21"/>
      <c r="HO212" s="21"/>
      <c r="HP212" s="21"/>
      <c r="HQ212" s="21"/>
      <c r="HR212" s="21"/>
      <c r="HS212" s="21"/>
      <c r="HT212" s="21"/>
      <c r="HU212" s="21"/>
      <c r="HV212" s="21"/>
      <c r="HW212" s="21"/>
      <c r="HX212" s="21"/>
      <c r="HY212" s="21"/>
      <c r="HZ212" s="21"/>
      <c r="IA212" s="21"/>
      <c r="IB212" s="21"/>
      <c r="IC212" s="21"/>
      <c r="ID212" s="21"/>
      <c r="IE212" s="21"/>
      <c r="IF212" s="21"/>
      <c r="IG212" s="21"/>
      <c r="IH212" s="21"/>
      <c r="II212" s="21"/>
      <c r="IJ212" s="21"/>
      <c r="IK212" s="21"/>
      <c r="IL212" s="21"/>
      <c r="IM212" s="21"/>
      <c r="IN212" s="21"/>
      <c r="IO212" s="21"/>
      <c r="IP212" s="21"/>
      <c r="IQ212" s="21"/>
      <c r="IR212" s="21"/>
      <c r="IS212" s="21"/>
      <c r="IT212" s="21"/>
    </row>
    <row r="213" spans="1:254" s="3" customFormat="1" ht="27" customHeight="1">
      <c r="A213" s="11">
        <v>211</v>
      </c>
      <c r="B213" s="13" t="str">
        <f>"梁惠贞"</f>
        <v>梁惠贞</v>
      </c>
      <c r="C213" s="13" t="s">
        <v>13</v>
      </c>
      <c r="D213" s="13" t="str">
        <f>"230702104605"</f>
        <v>230702104605</v>
      </c>
      <c r="E213" s="18">
        <v>66.63499999999999</v>
      </c>
      <c r="F213" s="19" t="s">
        <v>10</v>
      </c>
      <c r="G213" s="19" t="s">
        <v>10</v>
      </c>
      <c r="H213" s="18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1"/>
      <c r="GU213" s="21"/>
      <c r="GV213" s="21"/>
      <c r="GW213" s="21"/>
      <c r="GX213" s="21"/>
      <c r="GY213" s="21"/>
      <c r="GZ213" s="21"/>
      <c r="HA213" s="21"/>
      <c r="HB213" s="21"/>
      <c r="HC213" s="21"/>
      <c r="HD213" s="21"/>
      <c r="HE213" s="21"/>
      <c r="HF213" s="21"/>
      <c r="HG213" s="21"/>
      <c r="HH213" s="21"/>
      <c r="HI213" s="21"/>
      <c r="HJ213" s="21"/>
      <c r="HK213" s="21"/>
      <c r="HL213" s="21"/>
      <c r="HM213" s="21"/>
      <c r="HN213" s="21"/>
      <c r="HO213" s="21"/>
      <c r="HP213" s="21"/>
      <c r="HQ213" s="21"/>
      <c r="HR213" s="21"/>
      <c r="HS213" s="21"/>
      <c r="HT213" s="21"/>
      <c r="HU213" s="21"/>
      <c r="HV213" s="21"/>
      <c r="HW213" s="21"/>
      <c r="HX213" s="21"/>
      <c r="HY213" s="21"/>
      <c r="HZ213" s="21"/>
      <c r="IA213" s="21"/>
      <c r="IB213" s="21"/>
      <c r="IC213" s="21"/>
      <c r="ID213" s="21"/>
      <c r="IE213" s="21"/>
      <c r="IF213" s="21"/>
      <c r="IG213" s="21"/>
      <c r="IH213" s="21"/>
      <c r="II213" s="21"/>
      <c r="IJ213" s="21"/>
      <c r="IK213" s="21"/>
      <c r="IL213" s="21"/>
      <c r="IM213" s="21"/>
      <c r="IN213" s="21"/>
      <c r="IO213" s="21"/>
      <c r="IP213" s="21"/>
      <c r="IQ213" s="21"/>
      <c r="IR213" s="21"/>
      <c r="IS213" s="21"/>
      <c r="IT213" s="21"/>
    </row>
    <row r="214" spans="1:254" s="3" customFormat="1" ht="27" customHeight="1">
      <c r="A214" s="11">
        <v>212</v>
      </c>
      <c r="B214" s="13" t="str">
        <f>"徐嘉嘉"</f>
        <v>徐嘉嘉</v>
      </c>
      <c r="C214" s="13" t="s">
        <v>13</v>
      </c>
      <c r="D214" s="13" t="str">
        <f>"230702104306"</f>
        <v>230702104306</v>
      </c>
      <c r="E214" s="18">
        <v>66.4</v>
      </c>
      <c r="F214" s="19" t="s">
        <v>10</v>
      </c>
      <c r="G214" s="19" t="s">
        <v>10</v>
      </c>
      <c r="H214" s="18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  <c r="GF214" s="20"/>
      <c r="GG214" s="20"/>
      <c r="GH214" s="20"/>
      <c r="GI214" s="20"/>
      <c r="GJ214" s="20"/>
      <c r="GK214" s="20"/>
      <c r="GL214" s="20"/>
      <c r="GM214" s="20"/>
      <c r="GN214" s="20"/>
      <c r="GO214" s="20"/>
      <c r="GP214" s="20"/>
      <c r="GQ214" s="20"/>
      <c r="GR214" s="20"/>
      <c r="GS214" s="20"/>
      <c r="GT214" s="21"/>
      <c r="GU214" s="21"/>
      <c r="GV214" s="21"/>
      <c r="GW214" s="21"/>
      <c r="GX214" s="21"/>
      <c r="GY214" s="21"/>
      <c r="GZ214" s="21"/>
      <c r="HA214" s="21"/>
      <c r="HB214" s="21"/>
      <c r="HC214" s="21"/>
      <c r="HD214" s="21"/>
      <c r="HE214" s="21"/>
      <c r="HF214" s="21"/>
      <c r="HG214" s="21"/>
      <c r="HH214" s="21"/>
      <c r="HI214" s="21"/>
      <c r="HJ214" s="21"/>
      <c r="HK214" s="21"/>
      <c r="HL214" s="21"/>
      <c r="HM214" s="21"/>
      <c r="HN214" s="21"/>
      <c r="HO214" s="21"/>
      <c r="HP214" s="21"/>
      <c r="HQ214" s="21"/>
      <c r="HR214" s="21"/>
      <c r="HS214" s="21"/>
      <c r="HT214" s="21"/>
      <c r="HU214" s="21"/>
      <c r="HV214" s="21"/>
      <c r="HW214" s="21"/>
      <c r="HX214" s="21"/>
      <c r="HY214" s="21"/>
      <c r="HZ214" s="21"/>
      <c r="IA214" s="21"/>
      <c r="IB214" s="21"/>
      <c r="IC214" s="21"/>
      <c r="ID214" s="21"/>
      <c r="IE214" s="21"/>
      <c r="IF214" s="21"/>
      <c r="IG214" s="21"/>
      <c r="IH214" s="21"/>
      <c r="II214" s="21"/>
      <c r="IJ214" s="21"/>
      <c r="IK214" s="21"/>
      <c r="IL214" s="21"/>
      <c r="IM214" s="21"/>
      <c r="IN214" s="21"/>
      <c r="IO214" s="21"/>
      <c r="IP214" s="21"/>
      <c r="IQ214" s="21"/>
      <c r="IR214" s="21"/>
      <c r="IS214" s="21"/>
      <c r="IT214" s="21"/>
    </row>
    <row r="215" spans="1:254" s="3" customFormat="1" ht="27" customHeight="1">
      <c r="A215" s="11">
        <v>213</v>
      </c>
      <c r="B215" s="13" t="str">
        <f>"吴海星"</f>
        <v>吴海星</v>
      </c>
      <c r="C215" s="13" t="s">
        <v>13</v>
      </c>
      <c r="D215" s="13" t="str">
        <f>"230702104916"</f>
        <v>230702104916</v>
      </c>
      <c r="E215" s="18">
        <v>66.265</v>
      </c>
      <c r="F215" s="19" t="s">
        <v>10</v>
      </c>
      <c r="G215" s="19" t="s">
        <v>10</v>
      </c>
      <c r="H215" s="18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20"/>
      <c r="FT215" s="20"/>
      <c r="FU215" s="20"/>
      <c r="FV215" s="20"/>
      <c r="FW215" s="20"/>
      <c r="FX215" s="20"/>
      <c r="FY215" s="20"/>
      <c r="FZ215" s="20"/>
      <c r="GA215" s="20"/>
      <c r="GB215" s="20"/>
      <c r="GC215" s="20"/>
      <c r="GD215" s="20"/>
      <c r="GE215" s="20"/>
      <c r="GF215" s="20"/>
      <c r="GG215" s="20"/>
      <c r="GH215" s="20"/>
      <c r="GI215" s="20"/>
      <c r="GJ215" s="20"/>
      <c r="GK215" s="20"/>
      <c r="GL215" s="20"/>
      <c r="GM215" s="20"/>
      <c r="GN215" s="20"/>
      <c r="GO215" s="20"/>
      <c r="GP215" s="20"/>
      <c r="GQ215" s="20"/>
      <c r="GR215" s="20"/>
      <c r="GS215" s="20"/>
      <c r="GT215" s="21"/>
      <c r="GU215" s="21"/>
      <c r="GV215" s="21"/>
      <c r="GW215" s="21"/>
      <c r="GX215" s="21"/>
      <c r="GY215" s="21"/>
      <c r="GZ215" s="21"/>
      <c r="HA215" s="21"/>
      <c r="HB215" s="21"/>
      <c r="HC215" s="21"/>
      <c r="HD215" s="21"/>
      <c r="HE215" s="21"/>
      <c r="HF215" s="21"/>
      <c r="HG215" s="21"/>
      <c r="HH215" s="21"/>
      <c r="HI215" s="21"/>
      <c r="HJ215" s="21"/>
      <c r="HK215" s="21"/>
      <c r="HL215" s="21"/>
      <c r="HM215" s="21"/>
      <c r="HN215" s="21"/>
      <c r="HO215" s="21"/>
      <c r="HP215" s="21"/>
      <c r="HQ215" s="21"/>
      <c r="HR215" s="21"/>
      <c r="HS215" s="21"/>
      <c r="HT215" s="21"/>
      <c r="HU215" s="21"/>
      <c r="HV215" s="21"/>
      <c r="HW215" s="21"/>
      <c r="HX215" s="21"/>
      <c r="HY215" s="21"/>
      <c r="HZ215" s="21"/>
      <c r="IA215" s="21"/>
      <c r="IB215" s="21"/>
      <c r="IC215" s="21"/>
      <c r="ID215" s="21"/>
      <c r="IE215" s="21"/>
      <c r="IF215" s="21"/>
      <c r="IG215" s="21"/>
      <c r="IH215" s="21"/>
      <c r="II215" s="21"/>
      <c r="IJ215" s="21"/>
      <c r="IK215" s="21"/>
      <c r="IL215" s="21"/>
      <c r="IM215" s="21"/>
      <c r="IN215" s="21"/>
      <c r="IO215" s="21"/>
      <c r="IP215" s="21"/>
      <c r="IQ215" s="21"/>
      <c r="IR215" s="21"/>
      <c r="IS215" s="21"/>
      <c r="IT215" s="21"/>
    </row>
    <row r="216" spans="1:254" s="3" customFormat="1" ht="27" customHeight="1">
      <c r="A216" s="11">
        <v>214</v>
      </c>
      <c r="B216" s="13" t="str">
        <f>"云子倩"</f>
        <v>云子倩</v>
      </c>
      <c r="C216" s="13" t="s">
        <v>13</v>
      </c>
      <c r="D216" s="13" t="str">
        <f>"230702103814"</f>
        <v>230702103814</v>
      </c>
      <c r="E216" s="18">
        <v>66.16499999999999</v>
      </c>
      <c r="F216" s="19" t="s">
        <v>10</v>
      </c>
      <c r="G216" s="19" t="s">
        <v>10</v>
      </c>
      <c r="H216" s="18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  <c r="GB216" s="20"/>
      <c r="GC216" s="20"/>
      <c r="GD216" s="20"/>
      <c r="GE216" s="20"/>
      <c r="GF216" s="20"/>
      <c r="GG216" s="20"/>
      <c r="GH216" s="20"/>
      <c r="GI216" s="20"/>
      <c r="GJ216" s="20"/>
      <c r="GK216" s="20"/>
      <c r="GL216" s="20"/>
      <c r="GM216" s="20"/>
      <c r="GN216" s="20"/>
      <c r="GO216" s="20"/>
      <c r="GP216" s="20"/>
      <c r="GQ216" s="20"/>
      <c r="GR216" s="20"/>
      <c r="GS216" s="20"/>
      <c r="GT216" s="21"/>
      <c r="GU216" s="21"/>
      <c r="GV216" s="21"/>
      <c r="GW216" s="21"/>
      <c r="GX216" s="21"/>
      <c r="GY216" s="21"/>
      <c r="GZ216" s="21"/>
      <c r="HA216" s="21"/>
      <c r="HB216" s="21"/>
      <c r="HC216" s="21"/>
      <c r="HD216" s="21"/>
      <c r="HE216" s="21"/>
      <c r="HF216" s="21"/>
      <c r="HG216" s="21"/>
      <c r="HH216" s="21"/>
      <c r="HI216" s="21"/>
      <c r="HJ216" s="21"/>
      <c r="HK216" s="21"/>
      <c r="HL216" s="21"/>
      <c r="HM216" s="21"/>
      <c r="HN216" s="21"/>
      <c r="HO216" s="21"/>
      <c r="HP216" s="21"/>
      <c r="HQ216" s="21"/>
      <c r="HR216" s="21"/>
      <c r="HS216" s="21"/>
      <c r="HT216" s="21"/>
      <c r="HU216" s="21"/>
      <c r="HV216" s="21"/>
      <c r="HW216" s="21"/>
      <c r="HX216" s="21"/>
      <c r="HY216" s="21"/>
      <c r="HZ216" s="21"/>
      <c r="IA216" s="21"/>
      <c r="IB216" s="21"/>
      <c r="IC216" s="21"/>
      <c r="ID216" s="21"/>
      <c r="IE216" s="21"/>
      <c r="IF216" s="21"/>
      <c r="IG216" s="21"/>
      <c r="IH216" s="21"/>
      <c r="II216" s="21"/>
      <c r="IJ216" s="21"/>
      <c r="IK216" s="21"/>
      <c r="IL216" s="21"/>
      <c r="IM216" s="21"/>
      <c r="IN216" s="21"/>
      <c r="IO216" s="21"/>
      <c r="IP216" s="21"/>
      <c r="IQ216" s="21"/>
      <c r="IR216" s="21"/>
      <c r="IS216" s="21"/>
      <c r="IT216" s="21"/>
    </row>
    <row r="217" spans="1:254" s="3" customFormat="1" ht="27" customHeight="1">
      <c r="A217" s="11">
        <v>215</v>
      </c>
      <c r="B217" s="13" t="str">
        <f>"陈文君"</f>
        <v>陈文君</v>
      </c>
      <c r="C217" s="13" t="s">
        <v>13</v>
      </c>
      <c r="D217" s="13" t="str">
        <f>"230702104612"</f>
        <v>230702104612</v>
      </c>
      <c r="E217" s="18">
        <v>65.435</v>
      </c>
      <c r="F217" s="19" t="s">
        <v>10</v>
      </c>
      <c r="G217" s="19" t="s">
        <v>10</v>
      </c>
      <c r="H217" s="18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20"/>
      <c r="GH217" s="20"/>
      <c r="GI217" s="20"/>
      <c r="GJ217" s="20"/>
      <c r="GK217" s="20"/>
      <c r="GL217" s="20"/>
      <c r="GM217" s="20"/>
      <c r="GN217" s="20"/>
      <c r="GO217" s="20"/>
      <c r="GP217" s="20"/>
      <c r="GQ217" s="20"/>
      <c r="GR217" s="20"/>
      <c r="GS217" s="20"/>
      <c r="GT217" s="21"/>
      <c r="GU217" s="21"/>
      <c r="GV217" s="21"/>
      <c r="GW217" s="21"/>
      <c r="GX217" s="21"/>
      <c r="GY217" s="21"/>
      <c r="GZ217" s="21"/>
      <c r="HA217" s="21"/>
      <c r="HB217" s="21"/>
      <c r="HC217" s="21"/>
      <c r="HD217" s="21"/>
      <c r="HE217" s="21"/>
      <c r="HF217" s="21"/>
      <c r="HG217" s="21"/>
      <c r="HH217" s="21"/>
      <c r="HI217" s="21"/>
      <c r="HJ217" s="21"/>
      <c r="HK217" s="21"/>
      <c r="HL217" s="21"/>
      <c r="HM217" s="21"/>
      <c r="HN217" s="21"/>
      <c r="HO217" s="21"/>
      <c r="HP217" s="21"/>
      <c r="HQ217" s="21"/>
      <c r="HR217" s="21"/>
      <c r="HS217" s="21"/>
      <c r="HT217" s="21"/>
      <c r="HU217" s="21"/>
      <c r="HV217" s="21"/>
      <c r="HW217" s="21"/>
      <c r="HX217" s="21"/>
      <c r="HY217" s="21"/>
      <c r="HZ217" s="21"/>
      <c r="IA217" s="21"/>
      <c r="IB217" s="21"/>
      <c r="IC217" s="21"/>
      <c r="ID217" s="21"/>
      <c r="IE217" s="21"/>
      <c r="IF217" s="21"/>
      <c r="IG217" s="21"/>
      <c r="IH217" s="21"/>
      <c r="II217" s="21"/>
      <c r="IJ217" s="21"/>
      <c r="IK217" s="21"/>
      <c r="IL217" s="21"/>
      <c r="IM217" s="21"/>
      <c r="IN217" s="21"/>
      <c r="IO217" s="21"/>
      <c r="IP217" s="21"/>
      <c r="IQ217" s="21"/>
      <c r="IR217" s="21"/>
      <c r="IS217" s="21"/>
      <c r="IT217" s="21"/>
    </row>
    <row r="218" spans="1:254" s="3" customFormat="1" ht="27" customHeight="1">
      <c r="A218" s="11">
        <v>216</v>
      </c>
      <c r="B218" s="13" t="str">
        <f>"符小娇"</f>
        <v>符小娇</v>
      </c>
      <c r="C218" s="13" t="s">
        <v>13</v>
      </c>
      <c r="D218" s="13" t="str">
        <f>"230702104302"</f>
        <v>230702104302</v>
      </c>
      <c r="E218" s="18">
        <v>65.38499999999999</v>
      </c>
      <c r="F218" s="19" t="s">
        <v>10</v>
      </c>
      <c r="G218" s="19" t="s">
        <v>10</v>
      </c>
      <c r="H218" s="18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  <c r="FV218" s="20"/>
      <c r="FW218" s="20"/>
      <c r="FX218" s="20"/>
      <c r="FY218" s="20"/>
      <c r="FZ218" s="20"/>
      <c r="GA218" s="20"/>
      <c r="GB218" s="20"/>
      <c r="GC218" s="20"/>
      <c r="GD218" s="20"/>
      <c r="GE218" s="20"/>
      <c r="GF218" s="20"/>
      <c r="GG218" s="20"/>
      <c r="GH218" s="20"/>
      <c r="GI218" s="20"/>
      <c r="GJ218" s="20"/>
      <c r="GK218" s="20"/>
      <c r="GL218" s="20"/>
      <c r="GM218" s="20"/>
      <c r="GN218" s="20"/>
      <c r="GO218" s="20"/>
      <c r="GP218" s="20"/>
      <c r="GQ218" s="20"/>
      <c r="GR218" s="20"/>
      <c r="GS218" s="20"/>
      <c r="GT218" s="21"/>
      <c r="GU218" s="21"/>
      <c r="GV218" s="21"/>
      <c r="GW218" s="21"/>
      <c r="GX218" s="21"/>
      <c r="GY218" s="21"/>
      <c r="GZ218" s="21"/>
      <c r="HA218" s="21"/>
      <c r="HB218" s="21"/>
      <c r="HC218" s="21"/>
      <c r="HD218" s="21"/>
      <c r="HE218" s="21"/>
      <c r="HF218" s="21"/>
      <c r="HG218" s="21"/>
      <c r="HH218" s="21"/>
      <c r="HI218" s="21"/>
      <c r="HJ218" s="21"/>
      <c r="HK218" s="21"/>
      <c r="HL218" s="21"/>
      <c r="HM218" s="21"/>
      <c r="HN218" s="21"/>
      <c r="HO218" s="21"/>
      <c r="HP218" s="21"/>
      <c r="HQ218" s="21"/>
      <c r="HR218" s="21"/>
      <c r="HS218" s="21"/>
      <c r="HT218" s="21"/>
      <c r="HU218" s="21"/>
      <c r="HV218" s="21"/>
      <c r="HW218" s="21"/>
      <c r="HX218" s="21"/>
      <c r="HY218" s="21"/>
      <c r="HZ218" s="21"/>
      <c r="IA218" s="21"/>
      <c r="IB218" s="21"/>
      <c r="IC218" s="21"/>
      <c r="ID218" s="21"/>
      <c r="IE218" s="21"/>
      <c r="IF218" s="21"/>
      <c r="IG218" s="21"/>
      <c r="IH218" s="21"/>
      <c r="II218" s="21"/>
      <c r="IJ218" s="21"/>
      <c r="IK218" s="21"/>
      <c r="IL218" s="21"/>
      <c r="IM218" s="21"/>
      <c r="IN218" s="21"/>
      <c r="IO218" s="21"/>
      <c r="IP218" s="21"/>
      <c r="IQ218" s="21"/>
      <c r="IR218" s="21"/>
      <c r="IS218" s="21"/>
      <c r="IT218" s="21"/>
    </row>
    <row r="219" spans="1:254" s="3" customFormat="1" ht="27" customHeight="1">
      <c r="A219" s="11">
        <v>217</v>
      </c>
      <c r="B219" s="13" t="str">
        <f>"王海育"</f>
        <v>王海育</v>
      </c>
      <c r="C219" s="13" t="s">
        <v>13</v>
      </c>
      <c r="D219" s="13" t="str">
        <f>"230702104314"</f>
        <v>230702104314</v>
      </c>
      <c r="E219" s="18">
        <v>65.35</v>
      </c>
      <c r="F219" s="19" t="s">
        <v>10</v>
      </c>
      <c r="G219" s="19" t="s">
        <v>10</v>
      </c>
      <c r="H219" s="18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  <c r="GD219" s="20"/>
      <c r="GE219" s="20"/>
      <c r="GF219" s="20"/>
      <c r="GG219" s="20"/>
      <c r="GH219" s="20"/>
      <c r="GI219" s="20"/>
      <c r="GJ219" s="20"/>
      <c r="GK219" s="20"/>
      <c r="GL219" s="20"/>
      <c r="GM219" s="20"/>
      <c r="GN219" s="20"/>
      <c r="GO219" s="20"/>
      <c r="GP219" s="20"/>
      <c r="GQ219" s="20"/>
      <c r="GR219" s="20"/>
      <c r="GS219" s="20"/>
      <c r="GT219" s="21"/>
      <c r="GU219" s="21"/>
      <c r="GV219" s="21"/>
      <c r="GW219" s="21"/>
      <c r="GX219" s="21"/>
      <c r="GY219" s="21"/>
      <c r="GZ219" s="21"/>
      <c r="HA219" s="21"/>
      <c r="HB219" s="21"/>
      <c r="HC219" s="21"/>
      <c r="HD219" s="21"/>
      <c r="HE219" s="21"/>
      <c r="HF219" s="21"/>
      <c r="HG219" s="21"/>
      <c r="HH219" s="21"/>
      <c r="HI219" s="21"/>
      <c r="HJ219" s="21"/>
      <c r="HK219" s="21"/>
      <c r="HL219" s="21"/>
      <c r="HM219" s="21"/>
      <c r="HN219" s="21"/>
      <c r="HO219" s="21"/>
      <c r="HP219" s="21"/>
      <c r="HQ219" s="21"/>
      <c r="HR219" s="21"/>
      <c r="HS219" s="21"/>
      <c r="HT219" s="21"/>
      <c r="HU219" s="21"/>
      <c r="HV219" s="21"/>
      <c r="HW219" s="21"/>
      <c r="HX219" s="21"/>
      <c r="HY219" s="21"/>
      <c r="HZ219" s="21"/>
      <c r="IA219" s="21"/>
      <c r="IB219" s="21"/>
      <c r="IC219" s="21"/>
      <c r="ID219" s="21"/>
      <c r="IE219" s="21"/>
      <c r="IF219" s="21"/>
      <c r="IG219" s="21"/>
      <c r="IH219" s="21"/>
      <c r="II219" s="21"/>
      <c r="IJ219" s="21"/>
      <c r="IK219" s="21"/>
      <c r="IL219" s="21"/>
      <c r="IM219" s="21"/>
      <c r="IN219" s="21"/>
      <c r="IO219" s="21"/>
      <c r="IP219" s="21"/>
      <c r="IQ219" s="21"/>
      <c r="IR219" s="21"/>
      <c r="IS219" s="21"/>
      <c r="IT219" s="21"/>
    </row>
    <row r="220" spans="1:254" s="3" customFormat="1" ht="27" customHeight="1">
      <c r="A220" s="11">
        <v>218</v>
      </c>
      <c r="B220" s="13" t="str">
        <f>"肖雅蕾"</f>
        <v>肖雅蕾</v>
      </c>
      <c r="C220" s="13" t="s">
        <v>13</v>
      </c>
      <c r="D220" s="13" t="str">
        <f>"230702104614"</f>
        <v>230702104614</v>
      </c>
      <c r="E220" s="18">
        <v>65.16499999999999</v>
      </c>
      <c r="F220" s="19" t="s">
        <v>10</v>
      </c>
      <c r="G220" s="19" t="s">
        <v>10</v>
      </c>
      <c r="H220" s="18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  <c r="FO220" s="20"/>
      <c r="FP220" s="20"/>
      <c r="FQ220" s="20"/>
      <c r="FR220" s="20"/>
      <c r="FS220" s="20"/>
      <c r="FT220" s="20"/>
      <c r="FU220" s="20"/>
      <c r="FV220" s="20"/>
      <c r="FW220" s="20"/>
      <c r="FX220" s="20"/>
      <c r="FY220" s="20"/>
      <c r="FZ220" s="20"/>
      <c r="GA220" s="20"/>
      <c r="GB220" s="20"/>
      <c r="GC220" s="20"/>
      <c r="GD220" s="20"/>
      <c r="GE220" s="20"/>
      <c r="GF220" s="20"/>
      <c r="GG220" s="20"/>
      <c r="GH220" s="20"/>
      <c r="GI220" s="20"/>
      <c r="GJ220" s="20"/>
      <c r="GK220" s="20"/>
      <c r="GL220" s="20"/>
      <c r="GM220" s="20"/>
      <c r="GN220" s="20"/>
      <c r="GO220" s="20"/>
      <c r="GP220" s="20"/>
      <c r="GQ220" s="20"/>
      <c r="GR220" s="20"/>
      <c r="GS220" s="20"/>
      <c r="GT220" s="21"/>
      <c r="GU220" s="21"/>
      <c r="GV220" s="21"/>
      <c r="GW220" s="21"/>
      <c r="GX220" s="21"/>
      <c r="GY220" s="21"/>
      <c r="GZ220" s="21"/>
      <c r="HA220" s="21"/>
      <c r="HB220" s="21"/>
      <c r="HC220" s="21"/>
      <c r="HD220" s="21"/>
      <c r="HE220" s="21"/>
      <c r="HF220" s="21"/>
      <c r="HG220" s="21"/>
      <c r="HH220" s="21"/>
      <c r="HI220" s="21"/>
      <c r="HJ220" s="21"/>
      <c r="HK220" s="21"/>
      <c r="HL220" s="21"/>
      <c r="HM220" s="21"/>
      <c r="HN220" s="21"/>
      <c r="HO220" s="21"/>
      <c r="HP220" s="21"/>
      <c r="HQ220" s="21"/>
      <c r="HR220" s="21"/>
      <c r="HS220" s="21"/>
      <c r="HT220" s="21"/>
      <c r="HU220" s="21"/>
      <c r="HV220" s="21"/>
      <c r="HW220" s="21"/>
      <c r="HX220" s="21"/>
      <c r="HY220" s="21"/>
      <c r="HZ220" s="21"/>
      <c r="IA220" s="21"/>
      <c r="IB220" s="21"/>
      <c r="IC220" s="21"/>
      <c r="ID220" s="21"/>
      <c r="IE220" s="21"/>
      <c r="IF220" s="21"/>
      <c r="IG220" s="21"/>
      <c r="IH220" s="21"/>
      <c r="II220" s="21"/>
      <c r="IJ220" s="21"/>
      <c r="IK220" s="21"/>
      <c r="IL220" s="21"/>
      <c r="IM220" s="21"/>
      <c r="IN220" s="21"/>
      <c r="IO220" s="21"/>
      <c r="IP220" s="21"/>
      <c r="IQ220" s="21"/>
      <c r="IR220" s="21"/>
      <c r="IS220" s="21"/>
      <c r="IT220" s="21"/>
    </row>
    <row r="221" spans="1:254" s="3" customFormat="1" ht="27" customHeight="1">
      <c r="A221" s="11">
        <v>219</v>
      </c>
      <c r="B221" s="13" t="str">
        <f>"黄巧儿"</f>
        <v>黄巧儿</v>
      </c>
      <c r="C221" s="13" t="s">
        <v>13</v>
      </c>
      <c r="D221" s="13" t="str">
        <f>"230702104206"</f>
        <v>230702104206</v>
      </c>
      <c r="E221" s="18">
        <v>65.13499999999999</v>
      </c>
      <c r="F221" s="19" t="s">
        <v>10</v>
      </c>
      <c r="G221" s="19" t="s">
        <v>10</v>
      </c>
      <c r="H221" s="18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  <c r="FI221" s="20"/>
      <c r="FJ221" s="20"/>
      <c r="FK221" s="20"/>
      <c r="FL221" s="20"/>
      <c r="FM221" s="20"/>
      <c r="FN221" s="20"/>
      <c r="FO221" s="20"/>
      <c r="FP221" s="20"/>
      <c r="FQ221" s="20"/>
      <c r="FR221" s="20"/>
      <c r="FS221" s="20"/>
      <c r="FT221" s="20"/>
      <c r="FU221" s="20"/>
      <c r="FV221" s="20"/>
      <c r="FW221" s="20"/>
      <c r="FX221" s="20"/>
      <c r="FY221" s="20"/>
      <c r="FZ221" s="20"/>
      <c r="GA221" s="20"/>
      <c r="GB221" s="20"/>
      <c r="GC221" s="20"/>
      <c r="GD221" s="20"/>
      <c r="GE221" s="20"/>
      <c r="GF221" s="20"/>
      <c r="GG221" s="20"/>
      <c r="GH221" s="20"/>
      <c r="GI221" s="20"/>
      <c r="GJ221" s="20"/>
      <c r="GK221" s="20"/>
      <c r="GL221" s="20"/>
      <c r="GM221" s="20"/>
      <c r="GN221" s="20"/>
      <c r="GO221" s="20"/>
      <c r="GP221" s="20"/>
      <c r="GQ221" s="20"/>
      <c r="GR221" s="20"/>
      <c r="GS221" s="20"/>
      <c r="GT221" s="21"/>
      <c r="GU221" s="21"/>
      <c r="GV221" s="21"/>
      <c r="GW221" s="21"/>
      <c r="GX221" s="21"/>
      <c r="GY221" s="21"/>
      <c r="GZ221" s="21"/>
      <c r="HA221" s="21"/>
      <c r="HB221" s="21"/>
      <c r="HC221" s="21"/>
      <c r="HD221" s="21"/>
      <c r="HE221" s="21"/>
      <c r="HF221" s="21"/>
      <c r="HG221" s="21"/>
      <c r="HH221" s="21"/>
      <c r="HI221" s="21"/>
      <c r="HJ221" s="21"/>
      <c r="HK221" s="21"/>
      <c r="HL221" s="21"/>
      <c r="HM221" s="21"/>
      <c r="HN221" s="21"/>
      <c r="HO221" s="21"/>
      <c r="HP221" s="21"/>
      <c r="HQ221" s="21"/>
      <c r="HR221" s="21"/>
      <c r="HS221" s="21"/>
      <c r="HT221" s="21"/>
      <c r="HU221" s="21"/>
      <c r="HV221" s="21"/>
      <c r="HW221" s="21"/>
      <c r="HX221" s="21"/>
      <c r="HY221" s="21"/>
      <c r="HZ221" s="21"/>
      <c r="IA221" s="21"/>
      <c r="IB221" s="21"/>
      <c r="IC221" s="21"/>
      <c r="ID221" s="21"/>
      <c r="IE221" s="21"/>
      <c r="IF221" s="21"/>
      <c r="IG221" s="21"/>
      <c r="IH221" s="21"/>
      <c r="II221" s="21"/>
      <c r="IJ221" s="21"/>
      <c r="IK221" s="21"/>
      <c r="IL221" s="21"/>
      <c r="IM221" s="21"/>
      <c r="IN221" s="21"/>
      <c r="IO221" s="21"/>
      <c r="IP221" s="21"/>
      <c r="IQ221" s="21"/>
      <c r="IR221" s="21"/>
      <c r="IS221" s="21"/>
      <c r="IT221" s="21"/>
    </row>
    <row r="222" spans="1:254" s="3" customFormat="1" ht="27" customHeight="1">
      <c r="A222" s="11">
        <v>220</v>
      </c>
      <c r="B222" s="13" t="str">
        <f>"王晶晶"</f>
        <v>王晶晶</v>
      </c>
      <c r="C222" s="13" t="s">
        <v>13</v>
      </c>
      <c r="D222" s="13" t="str">
        <f>"230702105510"</f>
        <v>230702105510</v>
      </c>
      <c r="E222" s="18">
        <v>64.95</v>
      </c>
      <c r="F222" s="19" t="s">
        <v>10</v>
      </c>
      <c r="G222" s="19" t="s">
        <v>10</v>
      </c>
      <c r="H222" s="18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  <c r="FV222" s="20"/>
      <c r="FW222" s="20"/>
      <c r="FX222" s="20"/>
      <c r="FY222" s="20"/>
      <c r="FZ222" s="20"/>
      <c r="GA222" s="20"/>
      <c r="GB222" s="20"/>
      <c r="GC222" s="20"/>
      <c r="GD222" s="20"/>
      <c r="GE222" s="20"/>
      <c r="GF222" s="20"/>
      <c r="GG222" s="20"/>
      <c r="GH222" s="20"/>
      <c r="GI222" s="20"/>
      <c r="GJ222" s="20"/>
      <c r="GK222" s="20"/>
      <c r="GL222" s="20"/>
      <c r="GM222" s="20"/>
      <c r="GN222" s="20"/>
      <c r="GO222" s="20"/>
      <c r="GP222" s="20"/>
      <c r="GQ222" s="20"/>
      <c r="GR222" s="20"/>
      <c r="GS222" s="20"/>
      <c r="GT222" s="21"/>
      <c r="GU222" s="21"/>
      <c r="GV222" s="21"/>
      <c r="GW222" s="21"/>
      <c r="GX222" s="21"/>
      <c r="GY222" s="21"/>
      <c r="GZ222" s="21"/>
      <c r="HA222" s="21"/>
      <c r="HB222" s="21"/>
      <c r="HC222" s="21"/>
      <c r="HD222" s="21"/>
      <c r="HE222" s="21"/>
      <c r="HF222" s="21"/>
      <c r="HG222" s="21"/>
      <c r="HH222" s="21"/>
      <c r="HI222" s="21"/>
      <c r="HJ222" s="21"/>
      <c r="HK222" s="21"/>
      <c r="HL222" s="21"/>
      <c r="HM222" s="21"/>
      <c r="HN222" s="21"/>
      <c r="HO222" s="21"/>
      <c r="HP222" s="21"/>
      <c r="HQ222" s="21"/>
      <c r="HR222" s="21"/>
      <c r="HS222" s="21"/>
      <c r="HT222" s="21"/>
      <c r="HU222" s="21"/>
      <c r="HV222" s="21"/>
      <c r="HW222" s="21"/>
      <c r="HX222" s="21"/>
      <c r="HY222" s="21"/>
      <c r="HZ222" s="21"/>
      <c r="IA222" s="21"/>
      <c r="IB222" s="21"/>
      <c r="IC222" s="21"/>
      <c r="ID222" s="21"/>
      <c r="IE222" s="21"/>
      <c r="IF222" s="21"/>
      <c r="IG222" s="21"/>
      <c r="IH222" s="21"/>
      <c r="II222" s="21"/>
      <c r="IJ222" s="21"/>
      <c r="IK222" s="21"/>
      <c r="IL222" s="21"/>
      <c r="IM222" s="21"/>
      <c r="IN222" s="21"/>
      <c r="IO222" s="21"/>
      <c r="IP222" s="21"/>
      <c r="IQ222" s="21"/>
      <c r="IR222" s="21"/>
      <c r="IS222" s="21"/>
      <c r="IT222" s="21"/>
    </row>
    <row r="223" spans="1:254" s="3" customFormat="1" ht="27" customHeight="1">
      <c r="A223" s="11">
        <v>221</v>
      </c>
      <c r="B223" s="13" t="str">
        <f>"赵迎"</f>
        <v>赵迎</v>
      </c>
      <c r="C223" s="13" t="s">
        <v>13</v>
      </c>
      <c r="D223" s="13" t="str">
        <f>"230702104319"</f>
        <v>230702104319</v>
      </c>
      <c r="E223" s="18">
        <v>64.715</v>
      </c>
      <c r="F223" s="19" t="s">
        <v>10</v>
      </c>
      <c r="G223" s="19" t="s">
        <v>10</v>
      </c>
      <c r="H223" s="18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  <c r="EK223" s="20"/>
      <c r="EL223" s="20"/>
      <c r="EM223" s="20"/>
      <c r="EN223" s="20"/>
      <c r="EO223" s="20"/>
      <c r="EP223" s="20"/>
      <c r="EQ223" s="20"/>
      <c r="ER223" s="20"/>
      <c r="ES223" s="20"/>
      <c r="ET223" s="20"/>
      <c r="EU223" s="20"/>
      <c r="EV223" s="20"/>
      <c r="EW223" s="20"/>
      <c r="EX223" s="20"/>
      <c r="EY223" s="20"/>
      <c r="EZ223" s="20"/>
      <c r="FA223" s="20"/>
      <c r="FB223" s="20"/>
      <c r="FC223" s="20"/>
      <c r="FD223" s="20"/>
      <c r="FE223" s="20"/>
      <c r="FF223" s="20"/>
      <c r="FG223" s="20"/>
      <c r="FH223" s="20"/>
      <c r="FI223" s="20"/>
      <c r="FJ223" s="20"/>
      <c r="FK223" s="20"/>
      <c r="FL223" s="20"/>
      <c r="FM223" s="20"/>
      <c r="FN223" s="20"/>
      <c r="FO223" s="20"/>
      <c r="FP223" s="20"/>
      <c r="FQ223" s="20"/>
      <c r="FR223" s="20"/>
      <c r="FS223" s="20"/>
      <c r="FT223" s="20"/>
      <c r="FU223" s="20"/>
      <c r="FV223" s="20"/>
      <c r="FW223" s="20"/>
      <c r="FX223" s="20"/>
      <c r="FY223" s="20"/>
      <c r="FZ223" s="20"/>
      <c r="GA223" s="20"/>
      <c r="GB223" s="20"/>
      <c r="GC223" s="20"/>
      <c r="GD223" s="20"/>
      <c r="GE223" s="20"/>
      <c r="GF223" s="20"/>
      <c r="GG223" s="20"/>
      <c r="GH223" s="20"/>
      <c r="GI223" s="20"/>
      <c r="GJ223" s="20"/>
      <c r="GK223" s="20"/>
      <c r="GL223" s="20"/>
      <c r="GM223" s="20"/>
      <c r="GN223" s="20"/>
      <c r="GO223" s="20"/>
      <c r="GP223" s="20"/>
      <c r="GQ223" s="20"/>
      <c r="GR223" s="20"/>
      <c r="GS223" s="20"/>
      <c r="GT223" s="21"/>
      <c r="GU223" s="21"/>
      <c r="GV223" s="21"/>
      <c r="GW223" s="21"/>
      <c r="GX223" s="21"/>
      <c r="GY223" s="21"/>
      <c r="GZ223" s="21"/>
      <c r="HA223" s="21"/>
      <c r="HB223" s="21"/>
      <c r="HC223" s="21"/>
      <c r="HD223" s="21"/>
      <c r="HE223" s="21"/>
      <c r="HF223" s="21"/>
      <c r="HG223" s="21"/>
      <c r="HH223" s="21"/>
      <c r="HI223" s="21"/>
      <c r="HJ223" s="21"/>
      <c r="HK223" s="21"/>
      <c r="HL223" s="21"/>
      <c r="HM223" s="21"/>
      <c r="HN223" s="21"/>
      <c r="HO223" s="21"/>
      <c r="HP223" s="21"/>
      <c r="HQ223" s="21"/>
      <c r="HR223" s="21"/>
      <c r="HS223" s="21"/>
      <c r="HT223" s="21"/>
      <c r="HU223" s="21"/>
      <c r="HV223" s="21"/>
      <c r="HW223" s="21"/>
      <c r="HX223" s="21"/>
      <c r="HY223" s="21"/>
      <c r="HZ223" s="21"/>
      <c r="IA223" s="21"/>
      <c r="IB223" s="21"/>
      <c r="IC223" s="21"/>
      <c r="ID223" s="21"/>
      <c r="IE223" s="21"/>
      <c r="IF223" s="21"/>
      <c r="IG223" s="21"/>
      <c r="IH223" s="21"/>
      <c r="II223" s="21"/>
      <c r="IJ223" s="21"/>
      <c r="IK223" s="21"/>
      <c r="IL223" s="21"/>
      <c r="IM223" s="21"/>
      <c r="IN223" s="21"/>
      <c r="IO223" s="21"/>
      <c r="IP223" s="21"/>
      <c r="IQ223" s="21"/>
      <c r="IR223" s="21"/>
      <c r="IS223" s="21"/>
      <c r="IT223" s="21"/>
    </row>
    <row r="224" spans="1:254" s="3" customFormat="1" ht="27" customHeight="1">
      <c r="A224" s="11">
        <v>222</v>
      </c>
      <c r="B224" s="13" t="str">
        <f>"梁青青"</f>
        <v>梁青青</v>
      </c>
      <c r="C224" s="13" t="s">
        <v>13</v>
      </c>
      <c r="D224" s="13" t="str">
        <f>"230702104819"</f>
        <v>230702104819</v>
      </c>
      <c r="E224" s="18">
        <v>64.565</v>
      </c>
      <c r="F224" s="19" t="s">
        <v>10</v>
      </c>
      <c r="G224" s="19" t="s">
        <v>10</v>
      </c>
      <c r="H224" s="18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  <c r="ER224" s="20"/>
      <c r="ES224" s="20"/>
      <c r="ET224" s="20"/>
      <c r="EU224" s="20"/>
      <c r="EV224" s="20"/>
      <c r="EW224" s="20"/>
      <c r="EX224" s="20"/>
      <c r="EY224" s="20"/>
      <c r="EZ224" s="20"/>
      <c r="FA224" s="20"/>
      <c r="FB224" s="20"/>
      <c r="FC224" s="20"/>
      <c r="FD224" s="20"/>
      <c r="FE224" s="20"/>
      <c r="FF224" s="20"/>
      <c r="FG224" s="20"/>
      <c r="FH224" s="20"/>
      <c r="FI224" s="20"/>
      <c r="FJ224" s="20"/>
      <c r="FK224" s="20"/>
      <c r="FL224" s="20"/>
      <c r="FM224" s="20"/>
      <c r="FN224" s="20"/>
      <c r="FO224" s="20"/>
      <c r="FP224" s="20"/>
      <c r="FQ224" s="20"/>
      <c r="FR224" s="20"/>
      <c r="FS224" s="20"/>
      <c r="FT224" s="20"/>
      <c r="FU224" s="20"/>
      <c r="FV224" s="20"/>
      <c r="FW224" s="20"/>
      <c r="FX224" s="20"/>
      <c r="FY224" s="20"/>
      <c r="FZ224" s="20"/>
      <c r="GA224" s="20"/>
      <c r="GB224" s="20"/>
      <c r="GC224" s="20"/>
      <c r="GD224" s="20"/>
      <c r="GE224" s="20"/>
      <c r="GF224" s="20"/>
      <c r="GG224" s="20"/>
      <c r="GH224" s="20"/>
      <c r="GI224" s="20"/>
      <c r="GJ224" s="20"/>
      <c r="GK224" s="20"/>
      <c r="GL224" s="20"/>
      <c r="GM224" s="20"/>
      <c r="GN224" s="20"/>
      <c r="GO224" s="20"/>
      <c r="GP224" s="20"/>
      <c r="GQ224" s="20"/>
      <c r="GR224" s="20"/>
      <c r="GS224" s="20"/>
      <c r="GT224" s="21"/>
      <c r="GU224" s="21"/>
      <c r="GV224" s="21"/>
      <c r="GW224" s="21"/>
      <c r="GX224" s="21"/>
      <c r="GY224" s="21"/>
      <c r="GZ224" s="21"/>
      <c r="HA224" s="21"/>
      <c r="HB224" s="21"/>
      <c r="HC224" s="21"/>
      <c r="HD224" s="21"/>
      <c r="HE224" s="21"/>
      <c r="HF224" s="21"/>
      <c r="HG224" s="21"/>
      <c r="HH224" s="21"/>
      <c r="HI224" s="21"/>
      <c r="HJ224" s="21"/>
      <c r="HK224" s="21"/>
      <c r="HL224" s="21"/>
      <c r="HM224" s="21"/>
      <c r="HN224" s="21"/>
      <c r="HO224" s="21"/>
      <c r="HP224" s="21"/>
      <c r="HQ224" s="21"/>
      <c r="HR224" s="21"/>
      <c r="HS224" s="21"/>
      <c r="HT224" s="21"/>
      <c r="HU224" s="21"/>
      <c r="HV224" s="21"/>
      <c r="HW224" s="21"/>
      <c r="HX224" s="21"/>
      <c r="HY224" s="21"/>
      <c r="HZ224" s="21"/>
      <c r="IA224" s="21"/>
      <c r="IB224" s="21"/>
      <c r="IC224" s="21"/>
      <c r="ID224" s="21"/>
      <c r="IE224" s="21"/>
      <c r="IF224" s="21"/>
      <c r="IG224" s="21"/>
      <c r="IH224" s="21"/>
      <c r="II224" s="21"/>
      <c r="IJ224" s="21"/>
      <c r="IK224" s="21"/>
      <c r="IL224" s="21"/>
      <c r="IM224" s="21"/>
      <c r="IN224" s="21"/>
      <c r="IO224" s="21"/>
      <c r="IP224" s="21"/>
      <c r="IQ224" s="21"/>
      <c r="IR224" s="21"/>
      <c r="IS224" s="21"/>
      <c r="IT224" s="21"/>
    </row>
    <row r="225" spans="1:254" s="3" customFormat="1" ht="27" customHeight="1">
      <c r="A225" s="11">
        <v>223</v>
      </c>
      <c r="B225" s="13" t="str">
        <f>"刘永妹"</f>
        <v>刘永妹</v>
      </c>
      <c r="C225" s="13" t="s">
        <v>13</v>
      </c>
      <c r="D225" s="13" t="str">
        <f>"230702103626"</f>
        <v>230702103626</v>
      </c>
      <c r="E225" s="18">
        <v>64.38499999999999</v>
      </c>
      <c r="F225" s="19" t="s">
        <v>10</v>
      </c>
      <c r="G225" s="19" t="s">
        <v>10</v>
      </c>
      <c r="H225" s="18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  <c r="EA225" s="20"/>
      <c r="EB225" s="20"/>
      <c r="EC225" s="20"/>
      <c r="ED225" s="20"/>
      <c r="EE225" s="20"/>
      <c r="EF225" s="20"/>
      <c r="EG225" s="20"/>
      <c r="EH225" s="20"/>
      <c r="EI225" s="20"/>
      <c r="EJ225" s="20"/>
      <c r="EK225" s="20"/>
      <c r="EL225" s="20"/>
      <c r="EM225" s="20"/>
      <c r="EN225" s="20"/>
      <c r="EO225" s="20"/>
      <c r="EP225" s="20"/>
      <c r="EQ225" s="20"/>
      <c r="ER225" s="20"/>
      <c r="ES225" s="20"/>
      <c r="ET225" s="20"/>
      <c r="EU225" s="20"/>
      <c r="EV225" s="20"/>
      <c r="EW225" s="20"/>
      <c r="EX225" s="20"/>
      <c r="EY225" s="20"/>
      <c r="EZ225" s="20"/>
      <c r="FA225" s="20"/>
      <c r="FB225" s="20"/>
      <c r="FC225" s="20"/>
      <c r="FD225" s="20"/>
      <c r="FE225" s="20"/>
      <c r="FF225" s="20"/>
      <c r="FG225" s="20"/>
      <c r="FH225" s="20"/>
      <c r="FI225" s="20"/>
      <c r="FJ225" s="20"/>
      <c r="FK225" s="20"/>
      <c r="FL225" s="20"/>
      <c r="FM225" s="20"/>
      <c r="FN225" s="20"/>
      <c r="FO225" s="20"/>
      <c r="FP225" s="20"/>
      <c r="FQ225" s="20"/>
      <c r="FR225" s="20"/>
      <c r="FS225" s="20"/>
      <c r="FT225" s="20"/>
      <c r="FU225" s="20"/>
      <c r="FV225" s="20"/>
      <c r="FW225" s="20"/>
      <c r="FX225" s="20"/>
      <c r="FY225" s="20"/>
      <c r="FZ225" s="20"/>
      <c r="GA225" s="20"/>
      <c r="GB225" s="20"/>
      <c r="GC225" s="20"/>
      <c r="GD225" s="20"/>
      <c r="GE225" s="20"/>
      <c r="GF225" s="20"/>
      <c r="GG225" s="20"/>
      <c r="GH225" s="20"/>
      <c r="GI225" s="20"/>
      <c r="GJ225" s="20"/>
      <c r="GK225" s="20"/>
      <c r="GL225" s="20"/>
      <c r="GM225" s="20"/>
      <c r="GN225" s="20"/>
      <c r="GO225" s="20"/>
      <c r="GP225" s="20"/>
      <c r="GQ225" s="20"/>
      <c r="GR225" s="20"/>
      <c r="GS225" s="20"/>
      <c r="GT225" s="21"/>
      <c r="GU225" s="21"/>
      <c r="GV225" s="21"/>
      <c r="GW225" s="21"/>
      <c r="GX225" s="21"/>
      <c r="GY225" s="21"/>
      <c r="GZ225" s="21"/>
      <c r="HA225" s="21"/>
      <c r="HB225" s="21"/>
      <c r="HC225" s="21"/>
      <c r="HD225" s="21"/>
      <c r="HE225" s="21"/>
      <c r="HF225" s="21"/>
      <c r="HG225" s="21"/>
      <c r="HH225" s="21"/>
      <c r="HI225" s="21"/>
      <c r="HJ225" s="21"/>
      <c r="HK225" s="21"/>
      <c r="HL225" s="21"/>
      <c r="HM225" s="21"/>
      <c r="HN225" s="21"/>
      <c r="HO225" s="21"/>
      <c r="HP225" s="21"/>
      <c r="HQ225" s="21"/>
      <c r="HR225" s="21"/>
      <c r="HS225" s="21"/>
      <c r="HT225" s="21"/>
      <c r="HU225" s="21"/>
      <c r="HV225" s="21"/>
      <c r="HW225" s="21"/>
      <c r="HX225" s="21"/>
      <c r="HY225" s="21"/>
      <c r="HZ225" s="21"/>
      <c r="IA225" s="21"/>
      <c r="IB225" s="21"/>
      <c r="IC225" s="21"/>
      <c r="ID225" s="21"/>
      <c r="IE225" s="21"/>
      <c r="IF225" s="21"/>
      <c r="IG225" s="21"/>
      <c r="IH225" s="21"/>
      <c r="II225" s="21"/>
      <c r="IJ225" s="21"/>
      <c r="IK225" s="21"/>
      <c r="IL225" s="21"/>
      <c r="IM225" s="21"/>
      <c r="IN225" s="21"/>
      <c r="IO225" s="21"/>
      <c r="IP225" s="21"/>
      <c r="IQ225" s="21"/>
      <c r="IR225" s="21"/>
      <c r="IS225" s="21"/>
      <c r="IT225" s="21"/>
    </row>
    <row r="226" spans="1:254" s="3" customFormat="1" ht="27" customHeight="1">
      <c r="A226" s="11">
        <v>224</v>
      </c>
      <c r="B226" s="13" t="str">
        <f>"王城萍"</f>
        <v>王城萍</v>
      </c>
      <c r="C226" s="13" t="s">
        <v>13</v>
      </c>
      <c r="D226" s="13" t="str">
        <f>"230702105412"</f>
        <v>230702105412</v>
      </c>
      <c r="E226" s="18">
        <v>64.285</v>
      </c>
      <c r="F226" s="19" t="s">
        <v>10</v>
      </c>
      <c r="G226" s="19" t="s">
        <v>10</v>
      </c>
      <c r="H226" s="18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  <c r="EA226" s="20"/>
      <c r="EB226" s="20"/>
      <c r="EC226" s="20"/>
      <c r="ED226" s="20"/>
      <c r="EE226" s="20"/>
      <c r="EF226" s="20"/>
      <c r="EG226" s="20"/>
      <c r="EH226" s="20"/>
      <c r="EI226" s="20"/>
      <c r="EJ226" s="20"/>
      <c r="EK226" s="20"/>
      <c r="EL226" s="20"/>
      <c r="EM226" s="20"/>
      <c r="EN226" s="20"/>
      <c r="EO226" s="20"/>
      <c r="EP226" s="20"/>
      <c r="EQ226" s="20"/>
      <c r="ER226" s="20"/>
      <c r="ES226" s="20"/>
      <c r="ET226" s="20"/>
      <c r="EU226" s="20"/>
      <c r="EV226" s="20"/>
      <c r="EW226" s="20"/>
      <c r="EX226" s="20"/>
      <c r="EY226" s="20"/>
      <c r="EZ226" s="20"/>
      <c r="FA226" s="20"/>
      <c r="FB226" s="20"/>
      <c r="FC226" s="20"/>
      <c r="FD226" s="20"/>
      <c r="FE226" s="20"/>
      <c r="FF226" s="20"/>
      <c r="FG226" s="20"/>
      <c r="FH226" s="20"/>
      <c r="FI226" s="20"/>
      <c r="FJ226" s="20"/>
      <c r="FK226" s="20"/>
      <c r="FL226" s="20"/>
      <c r="FM226" s="20"/>
      <c r="FN226" s="20"/>
      <c r="FO226" s="20"/>
      <c r="FP226" s="20"/>
      <c r="FQ226" s="20"/>
      <c r="FR226" s="20"/>
      <c r="FS226" s="20"/>
      <c r="FT226" s="20"/>
      <c r="FU226" s="20"/>
      <c r="FV226" s="20"/>
      <c r="FW226" s="20"/>
      <c r="FX226" s="20"/>
      <c r="FY226" s="20"/>
      <c r="FZ226" s="20"/>
      <c r="GA226" s="20"/>
      <c r="GB226" s="20"/>
      <c r="GC226" s="20"/>
      <c r="GD226" s="20"/>
      <c r="GE226" s="20"/>
      <c r="GF226" s="20"/>
      <c r="GG226" s="20"/>
      <c r="GH226" s="20"/>
      <c r="GI226" s="20"/>
      <c r="GJ226" s="20"/>
      <c r="GK226" s="20"/>
      <c r="GL226" s="20"/>
      <c r="GM226" s="20"/>
      <c r="GN226" s="20"/>
      <c r="GO226" s="20"/>
      <c r="GP226" s="20"/>
      <c r="GQ226" s="20"/>
      <c r="GR226" s="20"/>
      <c r="GS226" s="20"/>
      <c r="GT226" s="21"/>
      <c r="GU226" s="21"/>
      <c r="GV226" s="21"/>
      <c r="GW226" s="21"/>
      <c r="GX226" s="21"/>
      <c r="GY226" s="21"/>
      <c r="GZ226" s="21"/>
      <c r="HA226" s="21"/>
      <c r="HB226" s="21"/>
      <c r="HC226" s="21"/>
      <c r="HD226" s="21"/>
      <c r="HE226" s="21"/>
      <c r="HF226" s="21"/>
      <c r="HG226" s="21"/>
      <c r="HH226" s="21"/>
      <c r="HI226" s="21"/>
      <c r="HJ226" s="21"/>
      <c r="HK226" s="21"/>
      <c r="HL226" s="21"/>
      <c r="HM226" s="21"/>
      <c r="HN226" s="21"/>
      <c r="HO226" s="21"/>
      <c r="HP226" s="21"/>
      <c r="HQ226" s="21"/>
      <c r="HR226" s="21"/>
      <c r="HS226" s="21"/>
      <c r="HT226" s="21"/>
      <c r="HU226" s="21"/>
      <c r="HV226" s="21"/>
      <c r="HW226" s="21"/>
      <c r="HX226" s="21"/>
      <c r="HY226" s="21"/>
      <c r="HZ226" s="21"/>
      <c r="IA226" s="21"/>
      <c r="IB226" s="21"/>
      <c r="IC226" s="21"/>
      <c r="ID226" s="21"/>
      <c r="IE226" s="21"/>
      <c r="IF226" s="21"/>
      <c r="IG226" s="21"/>
      <c r="IH226" s="21"/>
      <c r="II226" s="21"/>
      <c r="IJ226" s="21"/>
      <c r="IK226" s="21"/>
      <c r="IL226" s="21"/>
      <c r="IM226" s="21"/>
      <c r="IN226" s="21"/>
      <c r="IO226" s="21"/>
      <c r="IP226" s="21"/>
      <c r="IQ226" s="21"/>
      <c r="IR226" s="21"/>
      <c r="IS226" s="21"/>
      <c r="IT226" s="21"/>
    </row>
    <row r="227" spans="1:254" s="3" customFormat="1" ht="27" customHeight="1">
      <c r="A227" s="11">
        <v>225</v>
      </c>
      <c r="B227" s="13" t="str">
        <f>"宋燕"</f>
        <v>宋燕</v>
      </c>
      <c r="C227" s="13" t="s">
        <v>13</v>
      </c>
      <c r="D227" s="13" t="str">
        <f>"230702105011"</f>
        <v>230702105011</v>
      </c>
      <c r="E227" s="18">
        <v>64.065</v>
      </c>
      <c r="F227" s="19" t="s">
        <v>10</v>
      </c>
      <c r="G227" s="19" t="s">
        <v>10</v>
      </c>
      <c r="H227" s="18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  <c r="GN227" s="20"/>
      <c r="GO227" s="20"/>
      <c r="GP227" s="20"/>
      <c r="GQ227" s="20"/>
      <c r="GR227" s="20"/>
      <c r="GS227" s="20"/>
      <c r="GT227" s="21"/>
      <c r="GU227" s="21"/>
      <c r="GV227" s="21"/>
      <c r="GW227" s="21"/>
      <c r="GX227" s="21"/>
      <c r="GY227" s="21"/>
      <c r="GZ227" s="21"/>
      <c r="HA227" s="21"/>
      <c r="HB227" s="21"/>
      <c r="HC227" s="21"/>
      <c r="HD227" s="21"/>
      <c r="HE227" s="21"/>
      <c r="HF227" s="21"/>
      <c r="HG227" s="21"/>
      <c r="HH227" s="21"/>
      <c r="HI227" s="21"/>
      <c r="HJ227" s="21"/>
      <c r="HK227" s="21"/>
      <c r="HL227" s="21"/>
      <c r="HM227" s="21"/>
      <c r="HN227" s="21"/>
      <c r="HO227" s="21"/>
      <c r="HP227" s="21"/>
      <c r="HQ227" s="21"/>
      <c r="HR227" s="21"/>
      <c r="HS227" s="21"/>
      <c r="HT227" s="21"/>
      <c r="HU227" s="21"/>
      <c r="HV227" s="21"/>
      <c r="HW227" s="21"/>
      <c r="HX227" s="21"/>
      <c r="HY227" s="21"/>
      <c r="HZ227" s="21"/>
      <c r="IA227" s="21"/>
      <c r="IB227" s="21"/>
      <c r="IC227" s="21"/>
      <c r="ID227" s="21"/>
      <c r="IE227" s="21"/>
      <c r="IF227" s="21"/>
      <c r="IG227" s="21"/>
      <c r="IH227" s="21"/>
      <c r="II227" s="21"/>
      <c r="IJ227" s="21"/>
      <c r="IK227" s="21"/>
      <c r="IL227" s="21"/>
      <c r="IM227" s="21"/>
      <c r="IN227" s="21"/>
      <c r="IO227" s="21"/>
      <c r="IP227" s="21"/>
      <c r="IQ227" s="21"/>
      <c r="IR227" s="21"/>
      <c r="IS227" s="21"/>
      <c r="IT227" s="21"/>
    </row>
    <row r="228" spans="1:254" s="3" customFormat="1" ht="27" customHeight="1">
      <c r="A228" s="11">
        <v>226</v>
      </c>
      <c r="B228" s="13" t="str">
        <f>"王宝芯"</f>
        <v>王宝芯</v>
      </c>
      <c r="C228" s="13" t="s">
        <v>13</v>
      </c>
      <c r="D228" s="13" t="str">
        <f>"230702104419"</f>
        <v>230702104419</v>
      </c>
      <c r="E228" s="18">
        <v>64.05</v>
      </c>
      <c r="F228" s="19" t="s">
        <v>10</v>
      </c>
      <c r="G228" s="19" t="s">
        <v>10</v>
      </c>
      <c r="H228" s="18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  <c r="EC228" s="20"/>
      <c r="ED228" s="20"/>
      <c r="EE228" s="20"/>
      <c r="EF228" s="20"/>
      <c r="EG228" s="20"/>
      <c r="EH228" s="20"/>
      <c r="EI228" s="20"/>
      <c r="EJ228" s="20"/>
      <c r="EK228" s="20"/>
      <c r="EL228" s="20"/>
      <c r="EM228" s="20"/>
      <c r="EN228" s="20"/>
      <c r="EO228" s="20"/>
      <c r="EP228" s="20"/>
      <c r="EQ228" s="20"/>
      <c r="ER228" s="20"/>
      <c r="ES228" s="20"/>
      <c r="ET228" s="20"/>
      <c r="EU228" s="20"/>
      <c r="EV228" s="20"/>
      <c r="EW228" s="20"/>
      <c r="EX228" s="20"/>
      <c r="EY228" s="20"/>
      <c r="EZ228" s="20"/>
      <c r="FA228" s="20"/>
      <c r="FB228" s="20"/>
      <c r="FC228" s="20"/>
      <c r="FD228" s="20"/>
      <c r="FE228" s="20"/>
      <c r="FF228" s="20"/>
      <c r="FG228" s="20"/>
      <c r="FH228" s="20"/>
      <c r="FI228" s="20"/>
      <c r="FJ228" s="20"/>
      <c r="FK228" s="20"/>
      <c r="FL228" s="20"/>
      <c r="FM228" s="20"/>
      <c r="FN228" s="20"/>
      <c r="FO228" s="20"/>
      <c r="FP228" s="20"/>
      <c r="FQ228" s="20"/>
      <c r="FR228" s="20"/>
      <c r="FS228" s="20"/>
      <c r="FT228" s="20"/>
      <c r="FU228" s="20"/>
      <c r="FV228" s="20"/>
      <c r="FW228" s="20"/>
      <c r="FX228" s="20"/>
      <c r="FY228" s="20"/>
      <c r="FZ228" s="20"/>
      <c r="GA228" s="20"/>
      <c r="GB228" s="20"/>
      <c r="GC228" s="20"/>
      <c r="GD228" s="20"/>
      <c r="GE228" s="20"/>
      <c r="GF228" s="20"/>
      <c r="GG228" s="20"/>
      <c r="GH228" s="20"/>
      <c r="GI228" s="20"/>
      <c r="GJ228" s="20"/>
      <c r="GK228" s="20"/>
      <c r="GL228" s="20"/>
      <c r="GM228" s="20"/>
      <c r="GN228" s="20"/>
      <c r="GO228" s="20"/>
      <c r="GP228" s="20"/>
      <c r="GQ228" s="20"/>
      <c r="GR228" s="20"/>
      <c r="GS228" s="20"/>
      <c r="GT228" s="21"/>
      <c r="GU228" s="21"/>
      <c r="GV228" s="21"/>
      <c r="GW228" s="21"/>
      <c r="GX228" s="21"/>
      <c r="GY228" s="21"/>
      <c r="GZ228" s="21"/>
      <c r="HA228" s="21"/>
      <c r="HB228" s="21"/>
      <c r="HC228" s="21"/>
      <c r="HD228" s="21"/>
      <c r="HE228" s="21"/>
      <c r="HF228" s="21"/>
      <c r="HG228" s="21"/>
      <c r="HH228" s="21"/>
      <c r="HI228" s="21"/>
      <c r="HJ228" s="21"/>
      <c r="HK228" s="21"/>
      <c r="HL228" s="21"/>
      <c r="HM228" s="21"/>
      <c r="HN228" s="21"/>
      <c r="HO228" s="21"/>
      <c r="HP228" s="21"/>
      <c r="HQ228" s="21"/>
      <c r="HR228" s="21"/>
      <c r="HS228" s="21"/>
      <c r="HT228" s="21"/>
      <c r="HU228" s="21"/>
      <c r="HV228" s="21"/>
      <c r="HW228" s="21"/>
      <c r="HX228" s="21"/>
      <c r="HY228" s="21"/>
      <c r="HZ228" s="21"/>
      <c r="IA228" s="21"/>
      <c r="IB228" s="21"/>
      <c r="IC228" s="21"/>
      <c r="ID228" s="21"/>
      <c r="IE228" s="21"/>
      <c r="IF228" s="21"/>
      <c r="IG228" s="21"/>
      <c r="IH228" s="21"/>
      <c r="II228" s="21"/>
      <c r="IJ228" s="21"/>
      <c r="IK228" s="21"/>
      <c r="IL228" s="21"/>
      <c r="IM228" s="21"/>
      <c r="IN228" s="21"/>
      <c r="IO228" s="21"/>
      <c r="IP228" s="21"/>
      <c r="IQ228" s="21"/>
      <c r="IR228" s="21"/>
      <c r="IS228" s="21"/>
      <c r="IT228" s="21"/>
    </row>
    <row r="229" spans="1:254" s="3" customFormat="1" ht="27" customHeight="1">
      <c r="A229" s="11">
        <v>227</v>
      </c>
      <c r="B229" s="13" t="str">
        <f>"王君儒"</f>
        <v>王君儒</v>
      </c>
      <c r="C229" s="13" t="s">
        <v>13</v>
      </c>
      <c r="D229" s="13" t="str">
        <f>"230702104305"</f>
        <v>230702104305</v>
      </c>
      <c r="E229" s="18">
        <v>64</v>
      </c>
      <c r="F229" s="19" t="s">
        <v>10</v>
      </c>
      <c r="G229" s="19" t="s">
        <v>10</v>
      </c>
      <c r="H229" s="18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  <c r="FI229" s="20"/>
      <c r="FJ229" s="20"/>
      <c r="FK229" s="20"/>
      <c r="FL229" s="20"/>
      <c r="FM229" s="20"/>
      <c r="FN229" s="20"/>
      <c r="FO229" s="20"/>
      <c r="FP229" s="20"/>
      <c r="FQ229" s="20"/>
      <c r="FR229" s="20"/>
      <c r="FS229" s="20"/>
      <c r="FT229" s="20"/>
      <c r="FU229" s="20"/>
      <c r="FV229" s="20"/>
      <c r="FW229" s="20"/>
      <c r="FX229" s="20"/>
      <c r="FY229" s="20"/>
      <c r="FZ229" s="20"/>
      <c r="GA229" s="20"/>
      <c r="GB229" s="20"/>
      <c r="GC229" s="20"/>
      <c r="GD229" s="20"/>
      <c r="GE229" s="20"/>
      <c r="GF229" s="20"/>
      <c r="GG229" s="20"/>
      <c r="GH229" s="20"/>
      <c r="GI229" s="20"/>
      <c r="GJ229" s="20"/>
      <c r="GK229" s="20"/>
      <c r="GL229" s="20"/>
      <c r="GM229" s="20"/>
      <c r="GN229" s="20"/>
      <c r="GO229" s="20"/>
      <c r="GP229" s="20"/>
      <c r="GQ229" s="20"/>
      <c r="GR229" s="20"/>
      <c r="GS229" s="20"/>
      <c r="GT229" s="21"/>
      <c r="GU229" s="21"/>
      <c r="GV229" s="21"/>
      <c r="GW229" s="21"/>
      <c r="GX229" s="21"/>
      <c r="GY229" s="21"/>
      <c r="GZ229" s="21"/>
      <c r="HA229" s="21"/>
      <c r="HB229" s="21"/>
      <c r="HC229" s="21"/>
      <c r="HD229" s="21"/>
      <c r="HE229" s="21"/>
      <c r="HF229" s="21"/>
      <c r="HG229" s="21"/>
      <c r="HH229" s="21"/>
      <c r="HI229" s="21"/>
      <c r="HJ229" s="21"/>
      <c r="HK229" s="21"/>
      <c r="HL229" s="21"/>
      <c r="HM229" s="21"/>
      <c r="HN229" s="21"/>
      <c r="HO229" s="21"/>
      <c r="HP229" s="21"/>
      <c r="HQ229" s="21"/>
      <c r="HR229" s="21"/>
      <c r="HS229" s="21"/>
      <c r="HT229" s="21"/>
      <c r="HU229" s="21"/>
      <c r="HV229" s="21"/>
      <c r="HW229" s="21"/>
      <c r="HX229" s="21"/>
      <c r="HY229" s="21"/>
      <c r="HZ229" s="21"/>
      <c r="IA229" s="21"/>
      <c r="IB229" s="21"/>
      <c r="IC229" s="21"/>
      <c r="ID229" s="21"/>
      <c r="IE229" s="21"/>
      <c r="IF229" s="21"/>
      <c r="IG229" s="21"/>
      <c r="IH229" s="21"/>
      <c r="II229" s="21"/>
      <c r="IJ229" s="21"/>
      <c r="IK229" s="21"/>
      <c r="IL229" s="21"/>
      <c r="IM229" s="21"/>
      <c r="IN229" s="21"/>
      <c r="IO229" s="21"/>
      <c r="IP229" s="21"/>
      <c r="IQ229" s="21"/>
      <c r="IR229" s="21"/>
      <c r="IS229" s="21"/>
      <c r="IT229" s="21"/>
    </row>
    <row r="230" spans="1:254" s="3" customFormat="1" ht="27" customHeight="1">
      <c r="A230" s="11">
        <v>228</v>
      </c>
      <c r="B230" s="13" t="str">
        <f>"符吉芳"</f>
        <v>符吉芳</v>
      </c>
      <c r="C230" s="13" t="s">
        <v>13</v>
      </c>
      <c r="D230" s="13" t="str">
        <f>"230702105410"</f>
        <v>230702105410</v>
      </c>
      <c r="E230" s="18">
        <v>63.95</v>
      </c>
      <c r="F230" s="19" t="s">
        <v>10</v>
      </c>
      <c r="G230" s="19" t="s">
        <v>10</v>
      </c>
      <c r="H230" s="18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  <c r="EA230" s="20"/>
      <c r="EB230" s="20"/>
      <c r="EC230" s="20"/>
      <c r="ED230" s="20"/>
      <c r="EE230" s="20"/>
      <c r="EF230" s="20"/>
      <c r="EG230" s="20"/>
      <c r="EH230" s="20"/>
      <c r="EI230" s="20"/>
      <c r="EJ230" s="20"/>
      <c r="EK230" s="20"/>
      <c r="EL230" s="20"/>
      <c r="EM230" s="20"/>
      <c r="EN230" s="20"/>
      <c r="EO230" s="20"/>
      <c r="EP230" s="20"/>
      <c r="EQ230" s="20"/>
      <c r="ER230" s="20"/>
      <c r="ES230" s="20"/>
      <c r="ET230" s="20"/>
      <c r="EU230" s="20"/>
      <c r="EV230" s="20"/>
      <c r="EW230" s="20"/>
      <c r="EX230" s="20"/>
      <c r="EY230" s="20"/>
      <c r="EZ230" s="20"/>
      <c r="FA230" s="20"/>
      <c r="FB230" s="20"/>
      <c r="FC230" s="20"/>
      <c r="FD230" s="20"/>
      <c r="FE230" s="20"/>
      <c r="FF230" s="20"/>
      <c r="FG230" s="20"/>
      <c r="FH230" s="20"/>
      <c r="FI230" s="20"/>
      <c r="FJ230" s="20"/>
      <c r="FK230" s="20"/>
      <c r="FL230" s="20"/>
      <c r="FM230" s="20"/>
      <c r="FN230" s="20"/>
      <c r="FO230" s="20"/>
      <c r="FP230" s="20"/>
      <c r="FQ230" s="20"/>
      <c r="FR230" s="20"/>
      <c r="FS230" s="20"/>
      <c r="FT230" s="20"/>
      <c r="FU230" s="20"/>
      <c r="FV230" s="20"/>
      <c r="FW230" s="20"/>
      <c r="FX230" s="20"/>
      <c r="FY230" s="20"/>
      <c r="FZ230" s="20"/>
      <c r="GA230" s="20"/>
      <c r="GB230" s="20"/>
      <c r="GC230" s="20"/>
      <c r="GD230" s="20"/>
      <c r="GE230" s="20"/>
      <c r="GF230" s="20"/>
      <c r="GG230" s="20"/>
      <c r="GH230" s="20"/>
      <c r="GI230" s="20"/>
      <c r="GJ230" s="20"/>
      <c r="GK230" s="20"/>
      <c r="GL230" s="20"/>
      <c r="GM230" s="20"/>
      <c r="GN230" s="20"/>
      <c r="GO230" s="20"/>
      <c r="GP230" s="20"/>
      <c r="GQ230" s="20"/>
      <c r="GR230" s="20"/>
      <c r="GS230" s="20"/>
      <c r="GT230" s="21"/>
      <c r="GU230" s="21"/>
      <c r="GV230" s="21"/>
      <c r="GW230" s="21"/>
      <c r="GX230" s="21"/>
      <c r="GY230" s="21"/>
      <c r="GZ230" s="21"/>
      <c r="HA230" s="21"/>
      <c r="HB230" s="21"/>
      <c r="HC230" s="21"/>
      <c r="HD230" s="21"/>
      <c r="HE230" s="21"/>
      <c r="HF230" s="21"/>
      <c r="HG230" s="21"/>
      <c r="HH230" s="21"/>
      <c r="HI230" s="21"/>
      <c r="HJ230" s="21"/>
      <c r="HK230" s="21"/>
      <c r="HL230" s="21"/>
      <c r="HM230" s="21"/>
      <c r="HN230" s="21"/>
      <c r="HO230" s="21"/>
      <c r="HP230" s="21"/>
      <c r="HQ230" s="21"/>
      <c r="HR230" s="21"/>
      <c r="HS230" s="21"/>
      <c r="HT230" s="21"/>
      <c r="HU230" s="21"/>
      <c r="HV230" s="21"/>
      <c r="HW230" s="21"/>
      <c r="HX230" s="21"/>
      <c r="HY230" s="21"/>
      <c r="HZ230" s="21"/>
      <c r="IA230" s="21"/>
      <c r="IB230" s="21"/>
      <c r="IC230" s="21"/>
      <c r="ID230" s="21"/>
      <c r="IE230" s="21"/>
      <c r="IF230" s="21"/>
      <c r="IG230" s="21"/>
      <c r="IH230" s="21"/>
      <c r="II230" s="21"/>
      <c r="IJ230" s="21"/>
      <c r="IK230" s="21"/>
      <c r="IL230" s="21"/>
      <c r="IM230" s="21"/>
      <c r="IN230" s="21"/>
      <c r="IO230" s="21"/>
      <c r="IP230" s="21"/>
      <c r="IQ230" s="21"/>
      <c r="IR230" s="21"/>
      <c r="IS230" s="21"/>
      <c r="IT230" s="21"/>
    </row>
    <row r="231" spans="1:254" s="3" customFormat="1" ht="27" customHeight="1">
      <c r="A231" s="11">
        <v>229</v>
      </c>
      <c r="B231" s="13" t="str">
        <f>"严秋玉"</f>
        <v>严秋玉</v>
      </c>
      <c r="C231" s="13" t="s">
        <v>13</v>
      </c>
      <c r="D231" s="13" t="str">
        <f>"230702104722"</f>
        <v>230702104722</v>
      </c>
      <c r="E231" s="18">
        <v>63.9</v>
      </c>
      <c r="F231" s="19" t="s">
        <v>10</v>
      </c>
      <c r="G231" s="19" t="s">
        <v>10</v>
      </c>
      <c r="H231" s="18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  <c r="EC231" s="20"/>
      <c r="ED231" s="20"/>
      <c r="EE231" s="20"/>
      <c r="EF231" s="20"/>
      <c r="EG231" s="20"/>
      <c r="EH231" s="20"/>
      <c r="EI231" s="20"/>
      <c r="EJ231" s="20"/>
      <c r="EK231" s="20"/>
      <c r="EL231" s="20"/>
      <c r="EM231" s="20"/>
      <c r="EN231" s="20"/>
      <c r="EO231" s="20"/>
      <c r="EP231" s="20"/>
      <c r="EQ231" s="20"/>
      <c r="ER231" s="20"/>
      <c r="ES231" s="20"/>
      <c r="ET231" s="20"/>
      <c r="EU231" s="20"/>
      <c r="EV231" s="20"/>
      <c r="EW231" s="20"/>
      <c r="EX231" s="20"/>
      <c r="EY231" s="20"/>
      <c r="EZ231" s="20"/>
      <c r="FA231" s="20"/>
      <c r="FB231" s="20"/>
      <c r="FC231" s="20"/>
      <c r="FD231" s="20"/>
      <c r="FE231" s="20"/>
      <c r="FF231" s="20"/>
      <c r="FG231" s="20"/>
      <c r="FH231" s="20"/>
      <c r="FI231" s="20"/>
      <c r="FJ231" s="20"/>
      <c r="FK231" s="20"/>
      <c r="FL231" s="20"/>
      <c r="FM231" s="20"/>
      <c r="FN231" s="20"/>
      <c r="FO231" s="20"/>
      <c r="FP231" s="20"/>
      <c r="FQ231" s="20"/>
      <c r="FR231" s="20"/>
      <c r="FS231" s="20"/>
      <c r="FT231" s="20"/>
      <c r="FU231" s="20"/>
      <c r="FV231" s="20"/>
      <c r="FW231" s="20"/>
      <c r="FX231" s="20"/>
      <c r="FY231" s="20"/>
      <c r="FZ231" s="20"/>
      <c r="GA231" s="20"/>
      <c r="GB231" s="20"/>
      <c r="GC231" s="20"/>
      <c r="GD231" s="20"/>
      <c r="GE231" s="20"/>
      <c r="GF231" s="20"/>
      <c r="GG231" s="20"/>
      <c r="GH231" s="20"/>
      <c r="GI231" s="20"/>
      <c r="GJ231" s="20"/>
      <c r="GK231" s="20"/>
      <c r="GL231" s="20"/>
      <c r="GM231" s="20"/>
      <c r="GN231" s="20"/>
      <c r="GO231" s="20"/>
      <c r="GP231" s="20"/>
      <c r="GQ231" s="20"/>
      <c r="GR231" s="20"/>
      <c r="GS231" s="20"/>
      <c r="GT231" s="21"/>
      <c r="GU231" s="21"/>
      <c r="GV231" s="21"/>
      <c r="GW231" s="21"/>
      <c r="GX231" s="21"/>
      <c r="GY231" s="21"/>
      <c r="GZ231" s="21"/>
      <c r="HA231" s="21"/>
      <c r="HB231" s="21"/>
      <c r="HC231" s="21"/>
      <c r="HD231" s="21"/>
      <c r="HE231" s="21"/>
      <c r="HF231" s="21"/>
      <c r="HG231" s="21"/>
      <c r="HH231" s="21"/>
      <c r="HI231" s="21"/>
      <c r="HJ231" s="21"/>
      <c r="HK231" s="21"/>
      <c r="HL231" s="21"/>
      <c r="HM231" s="21"/>
      <c r="HN231" s="21"/>
      <c r="HO231" s="21"/>
      <c r="HP231" s="21"/>
      <c r="HQ231" s="21"/>
      <c r="HR231" s="21"/>
      <c r="HS231" s="21"/>
      <c r="HT231" s="21"/>
      <c r="HU231" s="21"/>
      <c r="HV231" s="21"/>
      <c r="HW231" s="21"/>
      <c r="HX231" s="21"/>
      <c r="HY231" s="21"/>
      <c r="HZ231" s="21"/>
      <c r="IA231" s="21"/>
      <c r="IB231" s="21"/>
      <c r="IC231" s="21"/>
      <c r="ID231" s="21"/>
      <c r="IE231" s="21"/>
      <c r="IF231" s="21"/>
      <c r="IG231" s="21"/>
      <c r="IH231" s="21"/>
      <c r="II231" s="21"/>
      <c r="IJ231" s="21"/>
      <c r="IK231" s="21"/>
      <c r="IL231" s="21"/>
      <c r="IM231" s="21"/>
      <c r="IN231" s="21"/>
      <c r="IO231" s="21"/>
      <c r="IP231" s="21"/>
      <c r="IQ231" s="21"/>
      <c r="IR231" s="21"/>
      <c r="IS231" s="21"/>
      <c r="IT231" s="21"/>
    </row>
    <row r="232" spans="1:254" s="3" customFormat="1" ht="27" customHeight="1">
      <c r="A232" s="11">
        <v>230</v>
      </c>
      <c r="B232" s="13" t="str">
        <f>"吴文蕊"</f>
        <v>吴文蕊</v>
      </c>
      <c r="C232" s="13" t="s">
        <v>13</v>
      </c>
      <c r="D232" s="13" t="str">
        <f>"230702104410"</f>
        <v>230702104410</v>
      </c>
      <c r="E232" s="18">
        <v>63.835</v>
      </c>
      <c r="F232" s="19" t="s">
        <v>10</v>
      </c>
      <c r="G232" s="19" t="s">
        <v>10</v>
      </c>
      <c r="H232" s="18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  <c r="DV232" s="20"/>
      <c r="DW232" s="20"/>
      <c r="DX232" s="20"/>
      <c r="DY232" s="20"/>
      <c r="DZ232" s="20"/>
      <c r="EA232" s="20"/>
      <c r="EB232" s="20"/>
      <c r="EC232" s="20"/>
      <c r="ED232" s="20"/>
      <c r="EE232" s="20"/>
      <c r="EF232" s="20"/>
      <c r="EG232" s="20"/>
      <c r="EH232" s="20"/>
      <c r="EI232" s="20"/>
      <c r="EJ232" s="20"/>
      <c r="EK232" s="20"/>
      <c r="EL232" s="20"/>
      <c r="EM232" s="20"/>
      <c r="EN232" s="20"/>
      <c r="EO232" s="20"/>
      <c r="EP232" s="20"/>
      <c r="EQ232" s="20"/>
      <c r="ER232" s="20"/>
      <c r="ES232" s="20"/>
      <c r="ET232" s="20"/>
      <c r="EU232" s="20"/>
      <c r="EV232" s="20"/>
      <c r="EW232" s="20"/>
      <c r="EX232" s="20"/>
      <c r="EY232" s="20"/>
      <c r="EZ232" s="20"/>
      <c r="FA232" s="20"/>
      <c r="FB232" s="20"/>
      <c r="FC232" s="20"/>
      <c r="FD232" s="20"/>
      <c r="FE232" s="20"/>
      <c r="FF232" s="20"/>
      <c r="FG232" s="20"/>
      <c r="FH232" s="20"/>
      <c r="FI232" s="20"/>
      <c r="FJ232" s="20"/>
      <c r="FK232" s="20"/>
      <c r="FL232" s="20"/>
      <c r="FM232" s="20"/>
      <c r="FN232" s="20"/>
      <c r="FO232" s="20"/>
      <c r="FP232" s="20"/>
      <c r="FQ232" s="20"/>
      <c r="FR232" s="20"/>
      <c r="FS232" s="20"/>
      <c r="FT232" s="20"/>
      <c r="FU232" s="20"/>
      <c r="FV232" s="20"/>
      <c r="FW232" s="20"/>
      <c r="FX232" s="20"/>
      <c r="FY232" s="20"/>
      <c r="FZ232" s="20"/>
      <c r="GA232" s="20"/>
      <c r="GB232" s="20"/>
      <c r="GC232" s="20"/>
      <c r="GD232" s="20"/>
      <c r="GE232" s="20"/>
      <c r="GF232" s="20"/>
      <c r="GG232" s="20"/>
      <c r="GH232" s="20"/>
      <c r="GI232" s="20"/>
      <c r="GJ232" s="20"/>
      <c r="GK232" s="20"/>
      <c r="GL232" s="20"/>
      <c r="GM232" s="20"/>
      <c r="GN232" s="20"/>
      <c r="GO232" s="20"/>
      <c r="GP232" s="20"/>
      <c r="GQ232" s="20"/>
      <c r="GR232" s="20"/>
      <c r="GS232" s="20"/>
      <c r="GT232" s="21"/>
      <c r="GU232" s="21"/>
      <c r="GV232" s="21"/>
      <c r="GW232" s="21"/>
      <c r="GX232" s="21"/>
      <c r="GY232" s="21"/>
      <c r="GZ232" s="21"/>
      <c r="HA232" s="21"/>
      <c r="HB232" s="21"/>
      <c r="HC232" s="21"/>
      <c r="HD232" s="21"/>
      <c r="HE232" s="21"/>
      <c r="HF232" s="21"/>
      <c r="HG232" s="21"/>
      <c r="HH232" s="21"/>
      <c r="HI232" s="21"/>
      <c r="HJ232" s="21"/>
      <c r="HK232" s="21"/>
      <c r="HL232" s="21"/>
      <c r="HM232" s="21"/>
      <c r="HN232" s="21"/>
      <c r="HO232" s="21"/>
      <c r="HP232" s="21"/>
      <c r="HQ232" s="21"/>
      <c r="HR232" s="21"/>
      <c r="HS232" s="21"/>
      <c r="HT232" s="21"/>
      <c r="HU232" s="21"/>
      <c r="HV232" s="21"/>
      <c r="HW232" s="21"/>
      <c r="HX232" s="21"/>
      <c r="HY232" s="21"/>
      <c r="HZ232" s="21"/>
      <c r="IA232" s="21"/>
      <c r="IB232" s="21"/>
      <c r="IC232" s="21"/>
      <c r="ID232" s="21"/>
      <c r="IE232" s="21"/>
      <c r="IF232" s="21"/>
      <c r="IG232" s="21"/>
      <c r="IH232" s="21"/>
      <c r="II232" s="21"/>
      <c r="IJ232" s="21"/>
      <c r="IK232" s="21"/>
      <c r="IL232" s="21"/>
      <c r="IM232" s="21"/>
      <c r="IN232" s="21"/>
      <c r="IO232" s="21"/>
      <c r="IP232" s="21"/>
      <c r="IQ232" s="21"/>
      <c r="IR232" s="21"/>
      <c r="IS232" s="21"/>
      <c r="IT232" s="21"/>
    </row>
    <row r="233" spans="1:254" s="3" customFormat="1" ht="27" customHeight="1">
      <c r="A233" s="11">
        <v>231</v>
      </c>
      <c r="B233" s="13" t="str">
        <f>"许芝宁"</f>
        <v>许芝宁</v>
      </c>
      <c r="C233" s="13" t="s">
        <v>13</v>
      </c>
      <c r="D233" s="13" t="str">
        <f>"230702103822"</f>
        <v>230702103822</v>
      </c>
      <c r="E233" s="18">
        <v>63.8</v>
      </c>
      <c r="F233" s="19" t="s">
        <v>10</v>
      </c>
      <c r="G233" s="19" t="s">
        <v>10</v>
      </c>
      <c r="H233" s="18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  <c r="DV233" s="20"/>
      <c r="DW233" s="20"/>
      <c r="DX233" s="20"/>
      <c r="DY233" s="20"/>
      <c r="DZ233" s="20"/>
      <c r="EA233" s="20"/>
      <c r="EB233" s="20"/>
      <c r="EC233" s="20"/>
      <c r="ED233" s="20"/>
      <c r="EE233" s="20"/>
      <c r="EF233" s="20"/>
      <c r="EG233" s="20"/>
      <c r="EH233" s="20"/>
      <c r="EI233" s="20"/>
      <c r="EJ233" s="20"/>
      <c r="EK233" s="20"/>
      <c r="EL233" s="20"/>
      <c r="EM233" s="20"/>
      <c r="EN233" s="20"/>
      <c r="EO233" s="20"/>
      <c r="EP233" s="20"/>
      <c r="EQ233" s="20"/>
      <c r="ER233" s="20"/>
      <c r="ES233" s="20"/>
      <c r="ET233" s="20"/>
      <c r="EU233" s="20"/>
      <c r="EV233" s="20"/>
      <c r="EW233" s="20"/>
      <c r="EX233" s="20"/>
      <c r="EY233" s="20"/>
      <c r="EZ233" s="20"/>
      <c r="FA233" s="20"/>
      <c r="FB233" s="20"/>
      <c r="FC233" s="20"/>
      <c r="FD233" s="20"/>
      <c r="FE233" s="20"/>
      <c r="FF233" s="20"/>
      <c r="FG233" s="20"/>
      <c r="FH233" s="20"/>
      <c r="FI233" s="20"/>
      <c r="FJ233" s="20"/>
      <c r="FK233" s="20"/>
      <c r="FL233" s="20"/>
      <c r="FM233" s="20"/>
      <c r="FN233" s="20"/>
      <c r="FO233" s="20"/>
      <c r="FP233" s="20"/>
      <c r="FQ233" s="20"/>
      <c r="FR233" s="20"/>
      <c r="FS233" s="20"/>
      <c r="FT233" s="20"/>
      <c r="FU233" s="20"/>
      <c r="FV233" s="20"/>
      <c r="FW233" s="20"/>
      <c r="FX233" s="20"/>
      <c r="FY233" s="20"/>
      <c r="FZ233" s="20"/>
      <c r="GA233" s="20"/>
      <c r="GB233" s="20"/>
      <c r="GC233" s="20"/>
      <c r="GD233" s="20"/>
      <c r="GE233" s="20"/>
      <c r="GF233" s="20"/>
      <c r="GG233" s="20"/>
      <c r="GH233" s="20"/>
      <c r="GI233" s="20"/>
      <c r="GJ233" s="20"/>
      <c r="GK233" s="20"/>
      <c r="GL233" s="20"/>
      <c r="GM233" s="20"/>
      <c r="GN233" s="20"/>
      <c r="GO233" s="20"/>
      <c r="GP233" s="20"/>
      <c r="GQ233" s="20"/>
      <c r="GR233" s="20"/>
      <c r="GS233" s="20"/>
      <c r="GT233" s="21"/>
      <c r="GU233" s="21"/>
      <c r="GV233" s="21"/>
      <c r="GW233" s="21"/>
      <c r="GX233" s="21"/>
      <c r="GY233" s="21"/>
      <c r="GZ233" s="21"/>
      <c r="HA233" s="21"/>
      <c r="HB233" s="21"/>
      <c r="HC233" s="21"/>
      <c r="HD233" s="21"/>
      <c r="HE233" s="21"/>
      <c r="HF233" s="21"/>
      <c r="HG233" s="21"/>
      <c r="HH233" s="21"/>
      <c r="HI233" s="21"/>
      <c r="HJ233" s="21"/>
      <c r="HK233" s="21"/>
      <c r="HL233" s="21"/>
      <c r="HM233" s="21"/>
      <c r="HN233" s="21"/>
      <c r="HO233" s="21"/>
      <c r="HP233" s="21"/>
      <c r="HQ233" s="21"/>
      <c r="HR233" s="21"/>
      <c r="HS233" s="21"/>
      <c r="HT233" s="21"/>
      <c r="HU233" s="21"/>
      <c r="HV233" s="21"/>
      <c r="HW233" s="21"/>
      <c r="HX233" s="21"/>
      <c r="HY233" s="21"/>
      <c r="HZ233" s="21"/>
      <c r="IA233" s="21"/>
      <c r="IB233" s="21"/>
      <c r="IC233" s="21"/>
      <c r="ID233" s="21"/>
      <c r="IE233" s="21"/>
      <c r="IF233" s="21"/>
      <c r="IG233" s="21"/>
      <c r="IH233" s="21"/>
      <c r="II233" s="21"/>
      <c r="IJ233" s="21"/>
      <c r="IK233" s="21"/>
      <c r="IL233" s="21"/>
      <c r="IM233" s="21"/>
      <c r="IN233" s="21"/>
      <c r="IO233" s="21"/>
      <c r="IP233" s="21"/>
      <c r="IQ233" s="21"/>
      <c r="IR233" s="21"/>
      <c r="IS233" s="21"/>
      <c r="IT233" s="21"/>
    </row>
    <row r="234" spans="1:254" s="3" customFormat="1" ht="27" customHeight="1">
      <c r="A234" s="11">
        <v>232</v>
      </c>
      <c r="B234" s="13" t="str">
        <f>"庄海芳"</f>
        <v>庄海芳</v>
      </c>
      <c r="C234" s="13" t="s">
        <v>13</v>
      </c>
      <c r="D234" s="13" t="str">
        <f>"230702104517"</f>
        <v>230702104517</v>
      </c>
      <c r="E234" s="18">
        <v>63.785</v>
      </c>
      <c r="F234" s="19" t="s">
        <v>10</v>
      </c>
      <c r="G234" s="19" t="s">
        <v>10</v>
      </c>
      <c r="H234" s="18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  <c r="EK234" s="20"/>
      <c r="EL234" s="20"/>
      <c r="EM234" s="20"/>
      <c r="EN234" s="20"/>
      <c r="EO234" s="20"/>
      <c r="EP234" s="20"/>
      <c r="EQ234" s="20"/>
      <c r="ER234" s="20"/>
      <c r="ES234" s="20"/>
      <c r="ET234" s="20"/>
      <c r="EU234" s="20"/>
      <c r="EV234" s="20"/>
      <c r="EW234" s="20"/>
      <c r="EX234" s="20"/>
      <c r="EY234" s="20"/>
      <c r="EZ234" s="20"/>
      <c r="FA234" s="20"/>
      <c r="FB234" s="20"/>
      <c r="FC234" s="20"/>
      <c r="FD234" s="20"/>
      <c r="FE234" s="20"/>
      <c r="FF234" s="20"/>
      <c r="FG234" s="20"/>
      <c r="FH234" s="20"/>
      <c r="FI234" s="20"/>
      <c r="FJ234" s="20"/>
      <c r="FK234" s="20"/>
      <c r="FL234" s="20"/>
      <c r="FM234" s="20"/>
      <c r="FN234" s="20"/>
      <c r="FO234" s="20"/>
      <c r="FP234" s="20"/>
      <c r="FQ234" s="20"/>
      <c r="FR234" s="20"/>
      <c r="FS234" s="20"/>
      <c r="FT234" s="20"/>
      <c r="FU234" s="20"/>
      <c r="FV234" s="20"/>
      <c r="FW234" s="20"/>
      <c r="FX234" s="20"/>
      <c r="FY234" s="20"/>
      <c r="FZ234" s="20"/>
      <c r="GA234" s="20"/>
      <c r="GB234" s="20"/>
      <c r="GC234" s="20"/>
      <c r="GD234" s="20"/>
      <c r="GE234" s="20"/>
      <c r="GF234" s="20"/>
      <c r="GG234" s="20"/>
      <c r="GH234" s="20"/>
      <c r="GI234" s="20"/>
      <c r="GJ234" s="20"/>
      <c r="GK234" s="20"/>
      <c r="GL234" s="20"/>
      <c r="GM234" s="20"/>
      <c r="GN234" s="20"/>
      <c r="GO234" s="20"/>
      <c r="GP234" s="20"/>
      <c r="GQ234" s="20"/>
      <c r="GR234" s="20"/>
      <c r="GS234" s="20"/>
      <c r="GT234" s="21"/>
      <c r="GU234" s="21"/>
      <c r="GV234" s="21"/>
      <c r="GW234" s="21"/>
      <c r="GX234" s="21"/>
      <c r="GY234" s="21"/>
      <c r="GZ234" s="21"/>
      <c r="HA234" s="21"/>
      <c r="HB234" s="21"/>
      <c r="HC234" s="21"/>
      <c r="HD234" s="21"/>
      <c r="HE234" s="21"/>
      <c r="HF234" s="21"/>
      <c r="HG234" s="21"/>
      <c r="HH234" s="21"/>
      <c r="HI234" s="21"/>
      <c r="HJ234" s="21"/>
      <c r="HK234" s="21"/>
      <c r="HL234" s="21"/>
      <c r="HM234" s="21"/>
      <c r="HN234" s="21"/>
      <c r="HO234" s="21"/>
      <c r="HP234" s="21"/>
      <c r="HQ234" s="21"/>
      <c r="HR234" s="21"/>
      <c r="HS234" s="21"/>
      <c r="HT234" s="21"/>
      <c r="HU234" s="21"/>
      <c r="HV234" s="21"/>
      <c r="HW234" s="21"/>
      <c r="HX234" s="21"/>
      <c r="HY234" s="21"/>
      <c r="HZ234" s="21"/>
      <c r="IA234" s="21"/>
      <c r="IB234" s="21"/>
      <c r="IC234" s="21"/>
      <c r="ID234" s="21"/>
      <c r="IE234" s="21"/>
      <c r="IF234" s="21"/>
      <c r="IG234" s="21"/>
      <c r="IH234" s="21"/>
      <c r="II234" s="21"/>
      <c r="IJ234" s="21"/>
      <c r="IK234" s="21"/>
      <c r="IL234" s="21"/>
      <c r="IM234" s="21"/>
      <c r="IN234" s="21"/>
      <c r="IO234" s="21"/>
      <c r="IP234" s="21"/>
      <c r="IQ234" s="21"/>
      <c r="IR234" s="21"/>
      <c r="IS234" s="21"/>
      <c r="IT234" s="21"/>
    </row>
    <row r="235" spans="1:254" s="3" customFormat="1" ht="27" customHeight="1">
      <c r="A235" s="11">
        <v>233</v>
      </c>
      <c r="B235" s="13" t="str">
        <f>"张秀真"</f>
        <v>张秀真</v>
      </c>
      <c r="C235" s="13" t="s">
        <v>13</v>
      </c>
      <c r="D235" s="13" t="str">
        <f>"230702103712"</f>
        <v>230702103712</v>
      </c>
      <c r="E235" s="18">
        <v>63.7</v>
      </c>
      <c r="F235" s="19" t="s">
        <v>10</v>
      </c>
      <c r="G235" s="19" t="s">
        <v>10</v>
      </c>
      <c r="H235" s="18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  <c r="EC235" s="20"/>
      <c r="ED235" s="20"/>
      <c r="EE235" s="20"/>
      <c r="EF235" s="20"/>
      <c r="EG235" s="20"/>
      <c r="EH235" s="20"/>
      <c r="EI235" s="20"/>
      <c r="EJ235" s="20"/>
      <c r="EK235" s="20"/>
      <c r="EL235" s="20"/>
      <c r="EM235" s="20"/>
      <c r="EN235" s="20"/>
      <c r="EO235" s="20"/>
      <c r="EP235" s="20"/>
      <c r="EQ235" s="20"/>
      <c r="ER235" s="20"/>
      <c r="ES235" s="20"/>
      <c r="ET235" s="20"/>
      <c r="EU235" s="20"/>
      <c r="EV235" s="20"/>
      <c r="EW235" s="20"/>
      <c r="EX235" s="20"/>
      <c r="EY235" s="20"/>
      <c r="EZ235" s="20"/>
      <c r="FA235" s="20"/>
      <c r="FB235" s="20"/>
      <c r="FC235" s="20"/>
      <c r="FD235" s="20"/>
      <c r="FE235" s="20"/>
      <c r="FF235" s="20"/>
      <c r="FG235" s="20"/>
      <c r="FH235" s="20"/>
      <c r="FI235" s="20"/>
      <c r="FJ235" s="20"/>
      <c r="FK235" s="20"/>
      <c r="FL235" s="20"/>
      <c r="FM235" s="20"/>
      <c r="FN235" s="20"/>
      <c r="FO235" s="20"/>
      <c r="FP235" s="20"/>
      <c r="FQ235" s="20"/>
      <c r="FR235" s="20"/>
      <c r="FS235" s="20"/>
      <c r="FT235" s="20"/>
      <c r="FU235" s="20"/>
      <c r="FV235" s="20"/>
      <c r="FW235" s="20"/>
      <c r="FX235" s="20"/>
      <c r="FY235" s="20"/>
      <c r="FZ235" s="20"/>
      <c r="GA235" s="20"/>
      <c r="GB235" s="20"/>
      <c r="GC235" s="20"/>
      <c r="GD235" s="20"/>
      <c r="GE235" s="20"/>
      <c r="GF235" s="20"/>
      <c r="GG235" s="20"/>
      <c r="GH235" s="20"/>
      <c r="GI235" s="20"/>
      <c r="GJ235" s="20"/>
      <c r="GK235" s="20"/>
      <c r="GL235" s="20"/>
      <c r="GM235" s="20"/>
      <c r="GN235" s="20"/>
      <c r="GO235" s="20"/>
      <c r="GP235" s="20"/>
      <c r="GQ235" s="20"/>
      <c r="GR235" s="20"/>
      <c r="GS235" s="20"/>
      <c r="GT235" s="21"/>
      <c r="GU235" s="21"/>
      <c r="GV235" s="21"/>
      <c r="GW235" s="21"/>
      <c r="GX235" s="21"/>
      <c r="GY235" s="21"/>
      <c r="GZ235" s="21"/>
      <c r="HA235" s="21"/>
      <c r="HB235" s="21"/>
      <c r="HC235" s="21"/>
      <c r="HD235" s="21"/>
      <c r="HE235" s="21"/>
      <c r="HF235" s="21"/>
      <c r="HG235" s="21"/>
      <c r="HH235" s="21"/>
      <c r="HI235" s="21"/>
      <c r="HJ235" s="21"/>
      <c r="HK235" s="21"/>
      <c r="HL235" s="21"/>
      <c r="HM235" s="21"/>
      <c r="HN235" s="21"/>
      <c r="HO235" s="21"/>
      <c r="HP235" s="21"/>
      <c r="HQ235" s="21"/>
      <c r="HR235" s="21"/>
      <c r="HS235" s="21"/>
      <c r="HT235" s="21"/>
      <c r="HU235" s="21"/>
      <c r="HV235" s="21"/>
      <c r="HW235" s="21"/>
      <c r="HX235" s="21"/>
      <c r="HY235" s="21"/>
      <c r="HZ235" s="21"/>
      <c r="IA235" s="21"/>
      <c r="IB235" s="21"/>
      <c r="IC235" s="21"/>
      <c r="ID235" s="21"/>
      <c r="IE235" s="21"/>
      <c r="IF235" s="21"/>
      <c r="IG235" s="21"/>
      <c r="IH235" s="21"/>
      <c r="II235" s="21"/>
      <c r="IJ235" s="21"/>
      <c r="IK235" s="21"/>
      <c r="IL235" s="21"/>
      <c r="IM235" s="21"/>
      <c r="IN235" s="21"/>
      <c r="IO235" s="21"/>
      <c r="IP235" s="21"/>
      <c r="IQ235" s="21"/>
      <c r="IR235" s="21"/>
      <c r="IS235" s="21"/>
      <c r="IT235" s="21"/>
    </row>
    <row r="236" spans="1:254" s="3" customFormat="1" ht="27" customHeight="1">
      <c r="A236" s="11">
        <v>234</v>
      </c>
      <c r="B236" s="13" t="str">
        <f>"林政云"</f>
        <v>林政云</v>
      </c>
      <c r="C236" s="13" t="s">
        <v>13</v>
      </c>
      <c r="D236" s="13" t="str">
        <f>"230702103830"</f>
        <v>230702103830</v>
      </c>
      <c r="E236" s="18">
        <v>63.365</v>
      </c>
      <c r="F236" s="19" t="s">
        <v>10</v>
      </c>
      <c r="G236" s="19" t="s">
        <v>10</v>
      </c>
      <c r="H236" s="18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  <c r="EC236" s="20"/>
      <c r="ED236" s="20"/>
      <c r="EE236" s="20"/>
      <c r="EF236" s="20"/>
      <c r="EG236" s="20"/>
      <c r="EH236" s="20"/>
      <c r="EI236" s="20"/>
      <c r="EJ236" s="20"/>
      <c r="EK236" s="20"/>
      <c r="EL236" s="20"/>
      <c r="EM236" s="20"/>
      <c r="EN236" s="20"/>
      <c r="EO236" s="20"/>
      <c r="EP236" s="20"/>
      <c r="EQ236" s="20"/>
      <c r="ER236" s="20"/>
      <c r="ES236" s="20"/>
      <c r="ET236" s="20"/>
      <c r="EU236" s="20"/>
      <c r="EV236" s="20"/>
      <c r="EW236" s="20"/>
      <c r="EX236" s="20"/>
      <c r="EY236" s="20"/>
      <c r="EZ236" s="20"/>
      <c r="FA236" s="20"/>
      <c r="FB236" s="20"/>
      <c r="FC236" s="20"/>
      <c r="FD236" s="20"/>
      <c r="FE236" s="20"/>
      <c r="FF236" s="20"/>
      <c r="FG236" s="20"/>
      <c r="FH236" s="20"/>
      <c r="FI236" s="20"/>
      <c r="FJ236" s="20"/>
      <c r="FK236" s="20"/>
      <c r="FL236" s="20"/>
      <c r="FM236" s="20"/>
      <c r="FN236" s="20"/>
      <c r="FO236" s="20"/>
      <c r="FP236" s="20"/>
      <c r="FQ236" s="20"/>
      <c r="FR236" s="20"/>
      <c r="FS236" s="20"/>
      <c r="FT236" s="20"/>
      <c r="FU236" s="20"/>
      <c r="FV236" s="20"/>
      <c r="FW236" s="20"/>
      <c r="FX236" s="20"/>
      <c r="FY236" s="20"/>
      <c r="FZ236" s="20"/>
      <c r="GA236" s="20"/>
      <c r="GB236" s="20"/>
      <c r="GC236" s="20"/>
      <c r="GD236" s="20"/>
      <c r="GE236" s="20"/>
      <c r="GF236" s="20"/>
      <c r="GG236" s="20"/>
      <c r="GH236" s="20"/>
      <c r="GI236" s="20"/>
      <c r="GJ236" s="20"/>
      <c r="GK236" s="20"/>
      <c r="GL236" s="20"/>
      <c r="GM236" s="20"/>
      <c r="GN236" s="20"/>
      <c r="GO236" s="20"/>
      <c r="GP236" s="20"/>
      <c r="GQ236" s="20"/>
      <c r="GR236" s="20"/>
      <c r="GS236" s="20"/>
      <c r="GT236" s="21"/>
      <c r="GU236" s="21"/>
      <c r="GV236" s="21"/>
      <c r="GW236" s="21"/>
      <c r="GX236" s="21"/>
      <c r="GY236" s="21"/>
      <c r="GZ236" s="21"/>
      <c r="HA236" s="21"/>
      <c r="HB236" s="21"/>
      <c r="HC236" s="21"/>
      <c r="HD236" s="21"/>
      <c r="HE236" s="21"/>
      <c r="HF236" s="21"/>
      <c r="HG236" s="21"/>
      <c r="HH236" s="21"/>
      <c r="HI236" s="21"/>
      <c r="HJ236" s="21"/>
      <c r="HK236" s="21"/>
      <c r="HL236" s="21"/>
      <c r="HM236" s="21"/>
      <c r="HN236" s="21"/>
      <c r="HO236" s="21"/>
      <c r="HP236" s="21"/>
      <c r="HQ236" s="21"/>
      <c r="HR236" s="21"/>
      <c r="HS236" s="21"/>
      <c r="HT236" s="21"/>
      <c r="HU236" s="21"/>
      <c r="HV236" s="21"/>
      <c r="HW236" s="21"/>
      <c r="HX236" s="21"/>
      <c r="HY236" s="21"/>
      <c r="HZ236" s="21"/>
      <c r="IA236" s="21"/>
      <c r="IB236" s="21"/>
      <c r="IC236" s="21"/>
      <c r="ID236" s="21"/>
      <c r="IE236" s="21"/>
      <c r="IF236" s="21"/>
      <c r="IG236" s="21"/>
      <c r="IH236" s="21"/>
      <c r="II236" s="21"/>
      <c r="IJ236" s="21"/>
      <c r="IK236" s="21"/>
      <c r="IL236" s="21"/>
      <c r="IM236" s="21"/>
      <c r="IN236" s="21"/>
      <c r="IO236" s="21"/>
      <c r="IP236" s="21"/>
      <c r="IQ236" s="21"/>
      <c r="IR236" s="21"/>
      <c r="IS236" s="21"/>
      <c r="IT236" s="21"/>
    </row>
    <row r="237" spans="1:254" s="3" customFormat="1" ht="27" customHeight="1">
      <c r="A237" s="11">
        <v>235</v>
      </c>
      <c r="B237" s="13" t="str">
        <f>"黎青青"</f>
        <v>黎青青</v>
      </c>
      <c r="C237" s="13" t="s">
        <v>13</v>
      </c>
      <c r="D237" s="13" t="str">
        <f>"230702105508"</f>
        <v>230702105508</v>
      </c>
      <c r="E237" s="18">
        <v>63.365</v>
      </c>
      <c r="F237" s="19" t="s">
        <v>10</v>
      </c>
      <c r="G237" s="19" t="s">
        <v>10</v>
      </c>
      <c r="H237" s="18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  <c r="EI237" s="20"/>
      <c r="EJ237" s="20"/>
      <c r="EK237" s="20"/>
      <c r="EL237" s="20"/>
      <c r="EM237" s="20"/>
      <c r="EN237" s="20"/>
      <c r="EO237" s="20"/>
      <c r="EP237" s="20"/>
      <c r="EQ237" s="20"/>
      <c r="ER237" s="20"/>
      <c r="ES237" s="20"/>
      <c r="ET237" s="20"/>
      <c r="EU237" s="20"/>
      <c r="EV237" s="20"/>
      <c r="EW237" s="20"/>
      <c r="EX237" s="20"/>
      <c r="EY237" s="20"/>
      <c r="EZ237" s="20"/>
      <c r="FA237" s="20"/>
      <c r="FB237" s="20"/>
      <c r="FC237" s="20"/>
      <c r="FD237" s="20"/>
      <c r="FE237" s="20"/>
      <c r="FF237" s="20"/>
      <c r="FG237" s="20"/>
      <c r="FH237" s="20"/>
      <c r="FI237" s="20"/>
      <c r="FJ237" s="20"/>
      <c r="FK237" s="20"/>
      <c r="FL237" s="20"/>
      <c r="FM237" s="20"/>
      <c r="FN237" s="20"/>
      <c r="FO237" s="20"/>
      <c r="FP237" s="20"/>
      <c r="FQ237" s="20"/>
      <c r="FR237" s="20"/>
      <c r="FS237" s="20"/>
      <c r="FT237" s="20"/>
      <c r="FU237" s="20"/>
      <c r="FV237" s="20"/>
      <c r="FW237" s="20"/>
      <c r="FX237" s="20"/>
      <c r="FY237" s="20"/>
      <c r="FZ237" s="20"/>
      <c r="GA237" s="20"/>
      <c r="GB237" s="20"/>
      <c r="GC237" s="20"/>
      <c r="GD237" s="20"/>
      <c r="GE237" s="20"/>
      <c r="GF237" s="20"/>
      <c r="GG237" s="20"/>
      <c r="GH237" s="20"/>
      <c r="GI237" s="20"/>
      <c r="GJ237" s="20"/>
      <c r="GK237" s="20"/>
      <c r="GL237" s="20"/>
      <c r="GM237" s="20"/>
      <c r="GN237" s="20"/>
      <c r="GO237" s="20"/>
      <c r="GP237" s="20"/>
      <c r="GQ237" s="20"/>
      <c r="GR237" s="20"/>
      <c r="GS237" s="20"/>
      <c r="GT237" s="21"/>
      <c r="GU237" s="21"/>
      <c r="GV237" s="21"/>
      <c r="GW237" s="21"/>
      <c r="GX237" s="21"/>
      <c r="GY237" s="21"/>
      <c r="GZ237" s="21"/>
      <c r="HA237" s="21"/>
      <c r="HB237" s="21"/>
      <c r="HC237" s="21"/>
      <c r="HD237" s="21"/>
      <c r="HE237" s="21"/>
      <c r="HF237" s="21"/>
      <c r="HG237" s="21"/>
      <c r="HH237" s="21"/>
      <c r="HI237" s="21"/>
      <c r="HJ237" s="21"/>
      <c r="HK237" s="21"/>
      <c r="HL237" s="21"/>
      <c r="HM237" s="21"/>
      <c r="HN237" s="21"/>
      <c r="HO237" s="21"/>
      <c r="HP237" s="21"/>
      <c r="HQ237" s="21"/>
      <c r="HR237" s="21"/>
      <c r="HS237" s="21"/>
      <c r="HT237" s="21"/>
      <c r="HU237" s="21"/>
      <c r="HV237" s="21"/>
      <c r="HW237" s="21"/>
      <c r="HX237" s="21"/>
      <c r="HY237" s="21"/>
      <c r="HZ237" s="21"/>
      <c r="IA237" s="21"/>
      <c r="IB237" s="21"/>
      <c r="IC237" s="21"/>
      <c r="ID237" s="21"/>
      <c r="IE237" s="21"/>
      <c r="IF237" s="21"/>
      <c r="IG237" s="21"/>
      <c r="IH237" s="21"/>
      <c r="II237" s="21"/>
      <c r="IJ237" s="21"/>
      <c r="IK237" s="21"/>
      <c r="IL237" s="21"/>
      <c r="IM237" s="21"/>
      <c r="IN237" s="21"/>
      <c r="IO237" s="21"/>
      <c r="IP237" s="21"/>
      <c r="IQ237" s="21"/>
      <c r="IR237" s="21"/>
      <c r="IS237" s="21"/>
      <c r="IT237" s="21"/>
    </row>
    <row r="238" spans="1:254" s="3" customFormat="1" ht="27" customHeight="1">
      <c r="A238" s="11">
        <v>236</v>
      </c>
      <c r="B238" s="13" t="str">
        <f>"叶启妹"</f>
        <v>叶启妹</v>
      </c>
      <c r="C238" s="13" t="s">
        <v>13</v>
      </c>
      <c r="D238" s="13" t="str">
        <f>"230702105312"</f>
        <v>230702105312</v>
      </c>
      <c r="E238" s="18">
        <v>62.865</v>
      </c>
      <c r="F238" s="19" t="s">
        <v>10</v>
      </c>
      <c r="G238" s="19" t="s">
        <v>10</v>
      </c>
      <c r="H238" s="18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  <c r="DP238" s="20"/>
      <c r="DQ238" s="20"/>
      <c r="DR238" s="20"/>
      <c r="DS238" s="20"/>
      <c r="DT238" s="20"/>
      <c r="DU238" s="20"/>
      <c r="DV238" s="20"/>
      <c r="DW238" s="20"/>
      <c r="DX238" s="20"/>
      <c r="DY238" s="20"/>
      <c r="DZ238" s="20"/>
      <c r="EA238" s="20"/>
      <c r="EB238" s="20"/>
      <c r="EC238" s="20"/>
      <c r="ED238" s="20"/>
      <c r="EE238" s="20"/>
      <c r="EF238" s="20"/>
      <c r="EG238" s="20"/>
      <c r="EH238" s="20"/>
      <c r="EI238" s="20"/>
      <c r="EJ238" s="20"/>
      <c r="EK238" s="20"/>
      <c r="EL238" s="20"/>
      <c r="EM238" s="20"/>
      <c r="EN238" s="20"/>
      <c r="EO238" s="20"/>
      <c r="EP238" s="20"/>
      <c r="EQ238" s="20"/>
      <c r="ER238" s="20"/>
      <c r="ES238" s="20"/>
      <c r="ET238" s="20"/>
      <c r="EU238" s="20"/>
      <c r="EV238" s="20"/>
      <c r="EW238" s="20"/>
      <c r="EX238" s="20"/>
      <c r="EY238" s="20"/>
      <c r="EZ238" s="20"/>
      <c r="FA238" s="20"/>
      <c r="FB238" s="20"/>
      <c r="FC238" s="20"/>
      <c r="FD238" s="20"/>
      <c r="FE238" s="20"/>
      <c r="FF238" s="20"/>
      <c r="FG238" s="20"/>
      <c r="FH238" s="20"/>
      <c r="FI238" s="20"/>
      <c r="FJ238" s="20"/>
      <c r="FK238" s="20"/>
      <c r="FL238" s="20"/>
      <c r="FM238" s="20"/>
      <c r="FN238" s="20"/>
      <c r="FO238" s="20"/>
      <c r="FP238" s="20"/>
      <c r="FQ238" s="20"/>
      <c r="FR238" s="20"/>
      <c r="FS238" s="20"/>
      <c r="FT238" s="20"/>
      <c r="FU238" s="20"/>
      <c r="FV238" s="20"/>
      <c r="FW238" s="20"/>
      <c r="FX238" s="20"/>
      <c r="FY238" s="20"/>
      <c r="FZ238" s="20"/>
      <c r="GA238" s="20"/>
      <c r="GB238" s="20"/>
      <c r="GC238" s="20"/>
      <c r="GD238" s="20"/>
      <c r="GE238" s="20"/>
      <c r="GF238" s="20"/>
      <c r="GG238" s="20"/>
      <c r="GH238" s="20"/>
      <c r="GI238" s="20"/>
      <c r="GJ238" s="20"/>
      <c r="GK238" s="20"/>
      <c r="GL238" s="20"/>
      <c r="GM238" s="20"/>
      <c r="GN238" s="20"/>
      <c r="GO238" s="20"/>
      <c r="GP238" s="20"/>
      <c r="GQ238" s="20"/>
      <c r="GR238" s="20"/>
      <c r="GS238" s="20"/>
      <c r="GT238" s="21"/>
      <c r="GU238" s="21"/>
      <c r="GV238" s="21"/>
      <c r="GW238" s="21"/>
      <c r="GX238" s="21"/>
      <c r="GY238" s="21"/>
      <c r="GZ238" s="21"/>
      <c r="HA238" s="21"/>
      <c r="HB238" s="21"/>
      <c r="HC238" s="21"/>
      <c r="HD238" s="21"/>
      <c r="HE238" s="21"/>
      <c r="HF238" s="21"/>
      <c r="HG238" s="21"/>
      <c r="HH238" s="21"/>
      <c r="HI238" s="21"/>
      <c r="HJ238" s="21"/>
      <c r="HK238" s="21"/>
      <c r="HL238" s="21"/>
      <c r="HM238" s="21"/>
      <c r="HN238" s="21"/>
      <c r="HO238" s="21"/>
      <c r="HP238" s="21"/>
      <c r="HQ238" s="21"/>
      <c r="HR238" s="21"/>
      <c r="HS238" s="21"/>
      <c r="HT238" s="21"/>
      <c r="HU238" s="21"/>
      <c r="HV238" s="21"/>
      <c r="HW238" s="21"/>
      <c r="HX238" s="21"/>
      <c r="HY238" s="21"/>
      <c r="HZ238" s="21"/>
      <c r="IA238" s="21"/>
      <c r="IB238" s="21"/>
      <c r="IC238" s="21"/>
      <c r="ID238" s="21"/>
      <c r="IE238" s="21"/>
      <c r="IF238" s="21"/>
      <c r="IG238" s="21"/>
      <c r="IH238" s="21"/>
      <c r="II238" s="21"/>
      <c r="IJ238" s="21"/>
      <c r="IK238" s="21"/>
      <c r="IL238" s="21"/>
      <c r="IM238" s="21"/>
      <c r="IN238" s="21"/>
      <c r="IO238" s="21"/>
      <c r="IP238" s="21"/>
      <c r="IQ238" s="21"/>
      <c r="IR238" s="21"/>
      <c r="IS238" s="21"/>
      <c r="IT238" s="21"/>
    </row>
    <row r="239" spans="1:254" s="3" customFormat="1" ht="27" customHeight="1">
      <c r="A239" s="11">
        <v>237</v>
      </c>
      <c r="B239" s="13" t="str">
        <f>"周柳妹"</f>
        <v>周柳妹</v>
      </c>
      <c r="C239" s="13" t="s">
        <v>13</v>
      </c>
      <c r="D239" s="13" t="str">
        <f>"230702104018"</f>
        <v>230702104018</v>
      </c>
      <c r="E239" s="18">
        <v>62.85</v>
      </c>
      <c r="F239" s="19" t="s">
        <v>10</v>
      </c>
      <c r="G239" s="19" t="s">
        <v>10</v>
      </c>
      <c r="H239" s="18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  <c r="EC239" s="20"/>
      <c r="ED239" s="20"/>
      <c r="EE239" s="20"/>
      <c r="EF239" s="20"/>
      <c r="EG239" s="20"/>
      <c r="EH239" s="20"/>
      <c r="EI239" s="20"/>
      <c r="EJ239" s="20"/>
      <c r="EK239" s="20"/>
      <c r="EL239" s="20"/>
      <c r="EM239" s="20"/>
      <c r="EN239" s="20"/>
      <c r="EO239" s="20"/>
      <c r="EP239" s="20"/>
      <c r="EQ239" s="20"/>
      <c r="ER239" s="20"/>
      <c r="ES239" s="20"/>
      <c r="ET239" s="20"/>
      <c r="EU239" s="20"/>
      <c r="EV239" s="20"/>
      <c r="EW239" s="20"/>
      <c r="EX239" s="20"/>
      <c r="EY239" s="20"/>
      <c r="EZ239" s="20"/>
      <c r="FA239" s="20"/>
      <c r="FB239" s="20"/>
      <c r="FC239" s="20"/>
      <c r="FD239" s="20"/>
      <c r="FE239" s="20"/>
      <c r="FF239" s="20"/>
      <c r="FG239" s="20"/>
      <c r="FH239" s="20"/>
      <c r="FI239" s="20"/>
      <c r="FJ239" s="20"/>
      <c r="FK239" s="20"/>
      <c r="FL239" s="20"/>
      <c r="FM239" s="20"/>
      <c r="FN239" s="20"/>
      <c r="FO239" s="20"/>
      <c r="FP239" s="20"/>
      <c r="FQ239" s="20"/>
      <c r="FR239" s="20"/>
      <c r="FS239" s="20"/>
      <c r="FT239" s="20"/>
      <c r="FU239" s="20"/>
      <c r="FV239" s="20"/>
      <c r="FW239" s="20"/>
      <c r="FX239" s="20"/>
      <c r="FY239" s="20"/>
      <c r="FZ239" s="20"/>
      <c r="GA239" s="20"/>
      <c r="GB239" s="20"/>
      <c r="GC239" s="20"/>
      <c r="GD239" s="20"/>
      <c r="GE239" s="20"/>
      <c r="GF239" s="20"/>
      <c r="GG239" s="20"/>
      <c r="GH239" s="20"/>
      <c r="GI239" s="20"/>
      <c r="GJ239" s="20"/>
      <c r="GK239" s="20"/>
      <c r="GL239" s="20"/>
      <c r="GM239" s="20"/>
      <c r="GN239" s="20"/>
      <c r="GO239" s="20"/>
      <c r="GP239" s="20"/>
      <c r="GQ239" s="20"/>
      <c r="GR239" s="20"/>
      <c r="GS239" s="20"/>
      <c r="GT239" s="21"/>
      <c r="GU239" s="21"/>
      <c r="GV239" s="21"/>
      <c r="GW239" s="21"/>
      <c r="GX239" s="21"/>
      <c r="GY239" s="21"/>
      <c r="GZ239" s="21"/>
      <c r="HA239" s="21"/>
      <c r="HB239" s="21"/>
      <c r="HC239" s="21"/>
      <c r="HD239" s="21"/>
      <c r="HE239" s="21"/>
      <c r="HF239" s="21"/>
      <c r="HG239" s="21"/>
      <c r="HH239" s="21"/>
      <c r="HI239" s="21"/>
      <c r="HJ239" s="21"/>
      <c r="HK239" s="21"/>
      <c r="HL239" s="21"/>
      <c r="HM239" s="21"/>
      <c r="HN239" s="21"/>
      <c r="HO239" s="21"/>
      <c r="HP239" s="21"/>
      <c r="HQ239" s="21"/>
      <c r="HR239" s="21"/>
      <c r="HS239" s="21"/>
      <c r="HT239" s="21"/>
      <c r="HU239" s="21"/>
      <c r="HV239" s="21"/>
      <c r="HW239" s="21"/>
      <c r="HX239" s="21"/>
      <c r="HY239" s="21"/>
      <c r="HZ239" s="21"/>
      <c r="IA239" s="21"/>
      <c r="IB239" s="21"/>
      <c r="IC239" s="21"/>
      <c r="ID239" s="21"/>
      <c r="IE239" s="21"/>
      <c r="IF239" s="21"/>
      <c r="IG239" s="21"/>
      <c r="IH239" s="21"/>
      <c r="II239" s="21"/>
      <c r="IJ239" s="21"/>
      <c r="IK239" s="21"/>
      <c r="IL239" s="21"/>
      <c r="IM239" s="21"/>
      <c r="IN239" s="21"/>
      <c r="IO239" s="21"/>
      <c r="IP239" s="21"/>
      <c r="IQ239" s="21"/>
      <c r="IR239" s="21"/>
      <c r="IS239" s="21"/>
      <c r="IT239" s="21"/>
    </row>
    <row r="240" spans="1:254" s="3" customFormat="1" ht="27" customHeight="1">
      <c r="A240" s="11">
        <v>238</v>
      </c>
      <c r="B240" s="13" t="str">
        <f>"林珠"</f>
        <v>林珠</v>
      </c>
      <c r="C240" s="13" t="s">
        <v>13</v>
      </c>
      <c r="D240" s="13" t="str">
        <f>"230702104805"</f>
        <v>230702104805</v>
      </c>
      <c r="E240" s="18">
        <v>62.815</v>
      </c>
      <c r="F240" s="19" t="s">
        <v>10</v>
      </c>
      <c r="G240" s="19" t="s">
        <v>10</v>
      </c>
      <c r="H240" s="18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  <c r="DV240" s="20"/>
      <c r="DW240" s="20"/>
      <c r="DX240" s="20"/>
      <c r="DY240" s="20"/>
      <c r="DZ240" s="20"/>
      <c r="EA240" s="20"/>
      <c r="EB240" s="20"/>
      <c r="EC240" s="20"/>
      <c r="ED240" s="20"/>
      <c r="EE240" s="20"/>
      <c r="EF240" s="20"/>
      <c r="EG240" s="20"/>
      <c r="EH240" s="20"/>
      <c r="EI240" s="20"/>
      <c r="EJ240" s="20"/>
      <c r="EK240" s="20"/>
      <c r="EL240" s="20"/>
      <c r="EM240" s="20"/>
      <c r="EN240" s="20"/>
      <c r="EO240" s="20"/>
      <c r="EP240" s="20"/>
      <c r="EQ240" s="20"/>
      <c r="ER240" s="20"/>
      <c r="ES240" s="20"/>
      <c r="ET240" s="20"/>
      <c r="EU240" s="20"/>
      <c r="EV240" s="20"/>
      <c r="EW240" s="20"/>
      <c r="EX240" s="20"/>
      <c r="EY240" s="20"/>
      <c r="EZ240" s="20"/>
      <c r="FA240" s="20"/>
      <c r="FB240" s="20"/>
      <c r="FC240" s="20"/>
      <c r="FD240" s="20"/>
      <c r="FE240" s="20"/>
      <c r="FF240" s="20"/>
      <c r="FG240" s="20"/>
      <c r="FH240" s="20"/>
      <c r="FI240" s="20"/>
      <c r="FJ240" s="20"/>
      <c r="FK240" s="20"/>
      <c r="FL240" s="20"/>
      <c r="FM240" s="20"/>
      <c r="FN240" s="20"/>
      <c r="FO240" s="20"/>
      <c r="FP240" s="20"/>
      <c r="FQ240" s="20"/>
      <c r="FR240" s="20"/>
      <c r="FS240" s="20"/>
      <c r="FT240" s="20"/>
      <c r="FU240" s="20"/>
      <c r="FV240" s="20"/>
      <c r="FW240" s="20"/>
      <c r="FX240" s="20"/>
      <c r="FY240" s="20"/>
      <c r="FZ240" s="20"/>
      <c r="GA240" s="20"/>
      <c r="GB240" s="20"/>
      <c r="GC240" s="20"/>
      <c r="GD240" s="20"/>
      <c r="GE240" s="20"/>
      <c r="GF240" s="20"/>
      <c r="GG240" s="20"/>
      <c r="GH240" s="20"/>
      <c r="GI240" s="20"/>
      <c r="GJ240" s="20"/>
      <c r="GK240" s="20"/>
      <c r="GL240" s="20"/>
      <c r="GM240" s="20"/>
      <c r="GN240" s="20"/>
      <c r="GO240" s="20"/>
      <c r="GP240" s="20"/>
      <c r="GQ240" s="20"/>
      <c r="GR240" s="20"/>
      <c r="GS240" s="20"/>
      <c r="GT240" s="21"/>
      <c r="GU240" s="21"/>
      <c r="GV240" s="21"/>
      <c r="GW240" s="21"/>
      <c r="GX240" s="21"/>
      <c r="GY240" s="21"/>
      <c r="GZ240" s="21"/>
      <c r="HA240" s="21"/>
      <c r="HB240" s="21"/>
      <c r="HC240" s="21"/>
      <c r="HD240" s="21"/>
      <c r="HE240" s="21"/>
      <c r="HF240" s="21"/>
      <c r="HG240" s="21"/>
      <c r="HH240" s="21"/>
      <c r="HI240" s="21"/>
      <c r="HJ240" s="21"/>
      <c r="HK240" s="21"/>
      <c r="HL240" s="21"/>
      <c r="HM240" s="21"/>
      <c r="HN240" s="21"/>
      <c r="HO240" s="21"/>
      <c r="HP240" s="21"/>
      <c r="HQ240" s="21"/>
      <c r="HR240" s="21"/>
      <c r="HS240" s="21"/>
      <c r="HT240" s="21"/>
      <c r="HU240" s="21"/>
      <c r="HV240" s="21"/>
      <c r="HW240" s="21"/>
      <c r="HX240" s="21"/>
      <c r="HY240" s="21"/>
      <c r="HZ240" s="21"/>
      <c r="IA240" s="21"/>
      <c r="IB240" s="21"/>
      <c r="IC240" s="21"/>
      <c r="ID240" s="21"/>
      <c r="IE240" s="21"/>
      <c r="IF240" s="21"/>
      <c r="IG240" s="21"/>
      <c r="IH240" s="21"/>
      <c r="II240" s="21"/>
      <c r="IJ240" s="21"/>
      <c r="IK240" s="21"/>
      <c r="IL240" s="21"/>
      <c r="IM240" s="21"/>
      <c r="IN240" s="21"/>
      <c r="IO240" s="21"/>
      <c r="IP240" s="21"/>
      <c r="IQ240" s="21"/>
      <c r="IR240" s="21"/>
      <c r="IS240" s="21"/>
      <c r="IT240" s="21"/>
    </row>
    <row r="241" spans="1:254" s="3" customFormat="1" ht="27" customHeight="1">
      <c r="A241" s="11">
        <v>239</v>
      </c>
      <c r="B241" s="13" t="str">
        <f>"王丽霞"</f>
        <v>王丽霞</v>
      </c>
      <c r="C241" s="13" t="s">
        <v>13</v>
      </c>
      <c r="D241" s="13" t="str">
        <f>"230702105406"</f>
        <v>230702105406</v>
      </c>
      <c r="E241" s="18">
        <v>62.565</v>
      </c>
      <c r="F241" s="19" t="s">
        <v>10</v>
      </c>
      <c r="G241" s="19" t="s">
        <v>10</v>
      </c>
      <c r="H241" s="18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  <c r="EC241" s="20"/>
      <c r="ED241" s="20"/>
      <c r="EE241" s="20"/>
      <c r="EF241" s="20"/>
      <c r="EG241" s="20"/>
      <c r="EH241" s="20"/>
      <c r="EI241" s="20"/>
      <c r="EJ241" s="20"/>
      <c r="EK241" s="20"/>
      <c r="EL241" s="20"/>
      <c r="EM241" s="20"/>
      <c r="EN241" s="20"/>
      <c r="EO241" s="20"/>
      <c r="EP241" s="20"/>
      <c r="EQ241" s="20"/>
      <c r="ER241" s="20"/>
      <c r="ES241" s="20"/>
      <c r="ET241" s="20"/>
      <c r="EU241" s="20"/>
      <c r="EV241" s="20"/>
      <c r="EW241" s="20"/>
      <c r="EX241" s="20"/>
      <c r="EY241" s="20"/>
      <c r="EZ241" s="20"/>
      <c r="FA241" s="20"/>
      <c r="FB241" s="20"/>
      <c r="FC241" s="20"/>
      <c r="FD241" s="20"/>
      <c r="FE241" s="20"/>
      <c r="FF241" s="20"/>
      <c r="FG241" s="20"/>
      <c r="FH241" s="20"/>
      <c r="FI241" s="20"/>
      <c r="FJ241" s="20"/>
      <c r="FK241" s="20"/>
      <c r="FL241" s="20"/>
      <c r="FM241" s="20"/>
      <c r="FN241" s="20"/>
      <c r="FO241" s="20"/>
      <c r="FP241" s="20"/>
      <c r="FQ241" s="20"/>
      <c r="FR241" s="20"/>
      <c r="FS241" s="20"/>
      <c r="FT241" s="20"/>
      <c r="FU241" s="20"/>
      <c r="FV241" s="20"/>
      <c r="FW241" s="20"/>
      <c r="FX241" s="20"/>
      <c r="FY241" s="20"/>
      <c r="FZ241" s="20"/>
      <c r="GA241" s="20"/>
      <c r="GB241" s="20"/>
      <c r="GC241" s="20"/>
      <c r="GD241" s="20"/>
      <c r="GE241" s="20"/>
      <c r="GF241" s="20"/>
      <c r="GG241" s="20"/>
      <c r="GH241" s="20"/>
      <c r="GI241" s="20"/>
      <c r="GJ241" s="20"/>
      <c r="GK241" s="20"/>
      <c r="GL241" s="20"/>
      <c r="GM241" s="20"/>
      <c r="GN241" s="20"/>
      <c r="GO241" s="20"/>
      <c r="GP241" s="20"/>
      <c r="GQ241" s="20"/>
      <c r="GR241" s="20"/>
      <c r="GS241" s="20"/>
      <c r="GT241" s="21"/>
      <c r="GU241" s="21"/>
      <c r="GV241" s="21"/>
      <c r="GW241" s="21"/>
      <c r="GX241" s="21"/>
      <c r="GY241" s="21"/>
      <c r="GZ241" s="21"/>
      <c r="HA241" s="21"/>
      <c r="HB241" s="21"/>
      <c r="HC241" s="21"/>
      <c r="HD241" s="21"/>
      <c r="HE241" s="21"/>
      <c r="HF241" s="21"/>
      <c r="HG241" s="21"/>
      <c r="HH241" s="21"/>
      <c r="HI241" s="21"/>
      <c r="HJ241" s="21"/>
      <c r="HK241" s="21"/>
      <c r="HL241" s="21"/>
      <c r="HM241" s="21"/>
      <c r="HN241" s="21"/>
      <c r="HO241" s="21"/>
      <c r="HP241" s="21"/>
      <c r="HQ241" s="21"/>
      <c r="HR241" s="21"/>
      <c r="HS241" s="21"/>
      <c r="HT241" s="21"/>
      <c r="HU241" s="21"/>
      <c r="HV241" s="21"/>
      <c r="HW241" s="21"/>
      <c r="HX241" s="21"/>
      <c r="HY241" s="21"/>
      <c r="HZ241" s="21"/>
      <c r="IA241" s="21"/>
      <c r="IB241" s="21"/>
      <c r="IC241" s="21"/>
      <c r="ID241" s="21"/>
      <c r="IE241" s="21"/>
      <c r="IF241" s="21"/>
      <c r="IG241" s="21"/>
      <c r="IH241" s="21"/>
      <c r="II241" s="21"/>
      <c r="IJ241" s="21"/>
      <c r="IK241" s="21"/>
      <c r="IL241" s="21"/>
      <c r="IM241" s="21"/>
      <c r="IN241" s="21"/>
      <c r="IO241" s="21"/>
      <c r="IP241" s="21"/>
      <c r="IQ241" s="21"/>
      <c r="IR241" s="21"/>
      <c r="IS241" s="21"/>
      <c r="IT241" s="21"/>
    </row>
    <row r="242" spans="1:254" s="3" customFormat="1" ht="27" customHeight="1">
      <c r="A242" s="11">
        <v>240</v>
      </c>
      <c r="B242" s="13" t="str">
        <f>"张紫玲"</f>
        <v>张紫玲</v>
      </c>
      <c r="C242" s="13" t="s">
        <v>13</v>
      </c>
      <c r="D242" s="13" t="str">
        <f>"230702104109"</f>
        <v>230702104109</v>
      </c>
      <c r="E242" s="18">
        <v>62.485</v>
      </c>
      <c r="F242" s="19" t="s">
        <v>10</v>
      </c>
      <c r="G242" s="19" t="s">
        <v>10</v>
      </c>
      <c r="H242" s="18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  <c r="EA242" s="20"/>
      <c r="EB242" s="20"/>
      <c r="EC242" s="20"/>
      <c r="ED242" s="20"/>
      <c r="EE242" s="20"/>
      <c r="EF242" s="20"/>
      <c r="EG242" s="20"/>
      <c r="EH242" s="20"/>
      <c r="EI242" s="20"/>
      <c r="EJ242" s="20"/>
      <c r="EK242" s="20"/>
      <c r="EL242" s="20"/>
      <c r="EM242" s="20"/>
      <c r="EN242" s="20"/>
      <c r="EO242" s="20"/>
      <c r="EP242" s="20"/>
      <c r="EQ242" s="20"/>
      <c r="ER242" s="20"/>
      <c r="ES242" s="20"/>
      <c r="ET242" s="20"/>
      <c r="EU242" s="20"/>
      <c r="EV242" s="20"/>
      <c r="EW242" s="20"/>
      <c r="EX242" s="20"/>
      <c r="EY242" s="20"/>
      <c r="EZ242" s="20"/>
      <c r="FA242" s="20"/>
      <c r="FB242" s="20"/>
      <c r="FC242" s="20"/>
      <c r="FD242" s="20"/>
      <c r="FE242" s="20"/>
      <c r="FF242" s="20"/>
      <c r="FG242" s="20"/>
      <c r="FH242" s="20"/>
      <c r="FI242" s="20"/>
      <c r="FJ242" s="20"/>
      <c r="FK242" s="20"/>
      <c r="FL242" s="20"/>
      <c r="FM242" s="20"/>
      <c r="FN242" s="20"/>
      <c r="FO242" s="20"/>
      <c r="FP242" s="20"/>
      <c r="FQ242" s="20"/>
      <c r="FR242" s="20"/>
      <c r="FS242" s="20"/>
      <c r="FT242" s="20"/>
      <c r="FU242" s="20"/>
      <c r="FV242" s="20"/>
      <c r="FW242" s="20"/>
      <c r="FX242" s="20"/>
      <c r="FY242" s="20"/>
      <c r="FZ242" s="20"/>
      <c r="GA242" s="20"/>
      <c r="GB242" s="20"/>
      <c r="GC242" s="20"/>
      <c r="GD242" s="20"/>
      <c r="GE242" s="20"/>
      <c r="GF242" s="20"/>
      <c r="GG242" s="20"/>
      <c r="GH242" s="20"/>
      <c r="GI242" s="20"/>
      <c r="GJ242" s="20"/>
      <c r="GK242" s="20"/>
      <c r="GL242" s="20"/>
      <c r="GM242" s="20"/>
      <c r="GN242" s="20"/>
      <c r="GO242" s="20"/>
      <c r="GP242" s="20"/>
      <c r="GQ242" s="20"/>
      <c r="GR242" s="20"/>
      <c r="GS242" s="20"/>
      <c r="GT242" s="21"/>
      <c r="GU242" s="21"/>
      <c r="GV242" s="21"/>
      <c r="GW242" s="21"/>
      <c r="GX242" s="21"/>
      <c r="GY242" s="21"/>
      <c r="GZ242" s="21"/>
      <c r="HA242" s="21"/>
      <c r="HB242" s="21"/>
      <c r="HC242" s="21"/>
      <c r="HD242" s="21"/>
      <c r="HE242" s="21"/>
      <c r="HF242" s="21"/>
      <c r="HG242" s="21"/>
      <c r="HH242" s="21"/>
      <c r="HI242" s="21"/>
      <c r="HJ242" s="21"/>
      <c r="HK242" s="21"/>
      <c r="HL242" s="21"/>
      <c r="HM242" s="21"/>
      <c r="HN242" s="21"/>
      <c r="HO242" s="21"/>
      <c r="HP242" s="21"/>
      <c r="HQ242" s="21"/>
      <c r="HR242" s="21"/>
      <c r="HS242" s="21"/>
      <c r="HT242" s="21"/>
      <c r="HU242" s="21"/>
      <c r="HV242" s="21"/>
      <c r="HW242" s="21"/>
      <c r="HX242" s="21"/>
      <c r="HY242" s="21"/>
      <c r="HZ242" s="21"/>
      <c r="IA242" s="21"/>
      <c r="IB242" s="21"/>
      <c r="IC242" s="21"/>
      <c r="ID242" s="21"/>
      <c r="IE242" s="21"/>
      <c r="IF242" s="21"/>
      <c r="IG242" s="21"/>
      <c r="IH242" s="21"/>
      <c r="II242" s="21"/>
      <c r="IJ242" s="21"/>
      <c r="IK242" s="21"/>
      <c r="IL242" s="21"/>
      <c r="IM242" s="21"/>
      <c r="IN242" s="21"/>
      <c r="IO242" s="21"/>
      <c r="IP242" s="21"/>
      <c r="IQ242" s="21"/>
      <c r="IR242" s="21"/>
      <c r="IS242" s="21"/>
      <c r="IT242" s="21"/>
    </row>
    <row r="243" spans="1:254" s="3" customFormat="1" ht="27" customHeight="1">
      <c r="A243" s="11">
        <v>241</v>
      </c>
      <c r="B243" s="13" t="str">
        <f>"韦嗣扬"</f>
        <v>韦嗣扬</v>
      </c>
      <c r="C243" s="13" t="s">
        <v>13</v>
      </c>
      <c r="D243" s="13" t="str">
        <f>"230702103930"</f>
        <v>230702103930</v>
      </c>
      <c r="E243" s="18">
        <v>62.285</v>
      </c>
      <c r="F243" s="19" t="s">
        <v>10</v>
      </c>
      <c r="G243" s="19" t="s">
        <v>10</v>
      </c>
      <c r="H243" s="18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  <c r="EC243" s="20"/>
      <c r="ED243" s="20"/>
      <c r="EE243" s="20"/>
      <c r="EF243" s="20"/>
      <c r="EG243" s="20"/>
      <c r="EH243" s="20"/>
      <c r="EI243" s="20"/>
      <c r="EJ243" s="20"/>
      <c r="EK243" s="20"/>
      <c r="EL243" s="20"/>
      <c r="EM243" s="20"/>
      <c r="EN243" s="20"/>
      <c r="EO243" s="20"/>
      <c r="EP243" s="20"/>
      <c r="EQ243" s="20"/>
      <c r="ER243" s="20"/>
      <c r="ES243" s="20"/>
      <c r="ET243" s="20"/>
      <c r="EU243" s="20"/>
      <c r="EV243" s="20"/>
      <c r="EW243" s="20"/>
      <c r="EX243" s="20"/>
      <c r="EY243" s="20"/>
      <c r="EZ243" s="20"/>
      <c r="FA243" s="20"/>
      <c r="FB243" s="20"/>
      <c r="FC243" s="20"/>
      <c r="FD243" s="20"/>
      <c r="FE243" s="20"/>
      <c r="FF243" s="20"/>
      <c r="FG243" s="20"/>
      <c r="FH243" s="20"/>
      <c r="FI243" s="20"/>
      <c r="FJ243" s="20"/>
      <c r="FK243" s="20"/>
      <c r="FL243" s="20"/>
      <c r="FM243" s="20"/>
      <c r="FN243" s="20"/>
      <c r="FO243" s="20"/>
      <c r="FP243" s="20"/>
      <c r="FQ243" s="20"/>
      <c r="FR243" s="20"/>
      <c r="FS243" s="20"/>
      <c r="FT243" s="20"/>
      <c r="FU243" s="20"/>
      <c r="FV243" s="20"/>
      <c r="FW243" s="20"/>
      <c r="FX243" s="20"/>
      <c r="FY243" s="20"/>
      <c r="FZ243" s="20"/>
      <c r="GA243" s="20"/>
      <c r="GB243" s="20"/>
      <c r="GC243" s="20"/>
      <c r="GD243" s="20"/>
      <c r="GE243" s="20"/>
      <c r="GF243" s="20"/>
      <c r="GG243" s="20"/>
      <c r="GH243" s="20"/>
      <c r="GI243" s="20"/>
      <c r="GJ243" s="20"/>
      <c r="GK243" s="20"/>
      <c r="GL243" s="20"/>
      <c r="GM243" s="20"/>
      <c r="GN243" s="20"/>
      <c r="GO243" s="20"/>
      <c r="GP243" s="20"/>
      <c r="GQ243" s="20"/>
      <c r="GR243" s="20"/>
      <c r="GS243" s="20"/>
      <c r="GT243" s="21"/>
      <c r="GU243" s="21"/>
      <c r="GV243" s="21"/>
      <c r="GW243" s="21"/>
      <c r="GX243" s="21"/>
      <c r="GY243" s="21"/>
      <c r="GZ243" s="21"/>
      <c r="HA243" s="21"/>
      <c r="HB243" s="21"/>
      <c r="HC243" s="21"/>
      <c r="HD243" s="21"/>
      <c r="HE243" s="21"/>
      <c r="HF243" s="21"/>
      <c r="HG243" s="21"/>
      <c r="HH243" s="21"/>
      <c r="HI243" s="21"/>
      <c r="HJ243" s="21"/>
      <c r="HK243" s="21"/>
      <c r="HL243" s="21"/>
      <c r="HM243" s="21"/>
      <c r="HN243" s="21"/>
      <c r="HO243" s="21"/>
      <c r="HP243" s="21"/>
      <c r="HQ243" s="21"/>
      <c r="HR243" s="21"/>
      <c r="HS243" s="21"/>
      <c r="HT243" s="21"/>
      <c r="HU243" s="21"/>
      <c r="HV243" s="21"/>
      <c r="HW243" s="21"/>
      <c r="HX243" s="21"/>
      <c r="HY243" s="21"/>
      <c r="HZ243" s="21"/>
      <c r="IA243" s="21"/>
      <c r="IB243" s="21"/>
      <c r="IC243" s="21"/>
      <c r="ID243" s="21"/>
      <c r="IE243" s="21"/>
      <c r="IF243" s="21"/>
      <c r="IG243" s="21"/>
      <c r="IH243" s="21"/>
      <c r="II243" s="21"/>
      <c r="IJ243" s="21"/>
      <c r="IK243" s="21"/>
      <c r="IL243" s="21"/>
      <c r="IM243" s="21"/>
      <c r="IN243" s="21"/>
      <c r="IO243" s="21"/>
      <c r="IP243" s="21"/>
      <c r="IQ243" s="21"/>
      <c r="IR243" s="21"/>
      <c r="IS243" s="21"/>
      <c r="IT243" s="21"/>
    </row>
    <row r="244" spans="1:254" s="3" customFormat="1" ht="27" customHeight="1">
      <c r="A244" s="11">
        <v>242</v>
      </c>
      <c r="B244" s="13" t="str">
        <f>"莫新坚"</f>
        <v>莫新坚</v>
      </c>
      <c r="C244" s="13" t="s">
        <v>13</v>
      </c>
      <c r="D244" s="13" t="str">
        <f>"230702104002"</f>
        <v>230702104002</v>
      </c>
      <c r="E244" s="18">
        <v>62.215</v>
      </c>
      <c r="F244" s="19" t="s">
        <v>10</v>
      </c>
      <c r="G244" s="19" t="s">
        <v>10</v>
      </c>
      <c r="H244" s="18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  <c r="EC244" s="20"/>
      <c r="ED244" s="20"/>
      <c r="EE244" s="20"/>
      <c r="EF244" s="20"/>
      <c r="EG244" s="20"/>
      <c r="EH244" s="20"/>
      <c r="EI244" s="20"/>
      <c r="EJ244" s="20"/>
      <c r="EK244" s="20"/>
      <c r="EL244" s="20"/>
      <c r="EM244" s="20"/>
      <c r="EN244" s="20"/>
      <c r="EO244" s="20"/>
      <c r="EP244" s="20"/>
      <c r="EQ244" s="20"/>
      <c r="ER244" s="20"/>
      <c r="ES244" s="20"/>
      <c r="ET244" s="20"/>
      <c r="EU244" s="20"/>
      <c r="EV244" s="20"/>
      <c r="EW244" s="20"/>
      <c r="EX244" s="20"/>
      <c r="EY244" s="20"/>
      <c r="EZ244" s="20"/>
      <c r="FA244" s="20"/>
      <c r="FB244" s="20"/>
      <c r="FC244" s="20"/>
      <c r="FD244" s="20"/>
      <c r="FE244" s="20"/>
      <c r="FF244" s="20"/>
      <c r="FG244" s="20"/>
      <c r="FH244" s="20"/>
      <c r="FI244" s="20"/>
      <c r="FJ244" s="20"/>
      <c r="FK244" s="20"/>
      <c r="FL244" s="20"/>
      <c r="FM244" s="20"/>
      <c r="FN244" s="20"/>
      <c r="FO244" s="20"/>
      <c r="FP244" s="20"/>
      <c r="FQ244" s="20"/>
      <c r="FR244" s="20"/>
      <c r="FS244" s="20"/>
      <c r="FT244" s="20"/>
      <c r="FU244" s="20"/>
      <c r="FV244" s="20"/>
      <c r="FW244" s="20"/>
      <c r="FX244" s="20"/>
      <c r="FY244" s="20"/>
      <c r="FZ244" s="20"/>
      <c r="GA244" s="20"/>
      <c r="GB244" s="20"/>
      <c r="GC244" s="20"/>
      <c r="GD244" s="20"/>
      <c r="GE244" s="20"/>
      <c r="GF244" s="20"/>
      <c r="GG244" s="20"/>
      <c r="GH244" s="20"/>
      <c r="GI244" s="20"/>
      <c r="GJ244" s="20"/>
      <c r="GK244" s="20"/>
      <c r="GL244" s="20"/>
      <c r="GM244" s="20"/>
      <c r="GN244" s="20"/>
      <c r="GO244" s="20"/>
      <c r="GP244" s="20"/>
      <c r="GQ244" s="20"/>
      <c r="GR244" s="20"/>
      <c r="GS244" s="20"/>
      <c r="GT244" s="21"/>
      <c r="GU244" s="21"/>
      <c r="GV244" s="21"/>
      <c r="GW244" s="21"/>
      <c r="GX244" s="21"/>
      <c r="GY244" s="21"/>
      <c r="GZ244" s="21"/>
      <c r="HA244" s="21"/>
      <c r="HB244" s="21"/>
      <c r="HC244" s="21"/>
      <c r="HD244" s="21"/>
      <c r="HE244" s="21"/>
      <c r="HF244" s="21"/>
      <c r="HG244" s="21"/>
      <c r="HH244" s="21"/>
      <c r="HI244" s="21"/>
      <c r="HJ244" s="21"/>
      <c r="HK244" s="21"/>
      <c r="HL244" s="21"/>
      <c r="HM244" s="21"/>
      <c r="HN244" s="21"/>
      <c r="HO244" s="21"/>
      <c r="HP244" s="21"/>
      <c r="HQ244" s="21"/>
      <c r="HR244" s="21"/>
      <c r="HS244" s="21"/>
      <c r="HT244" s="21"/>
      <c r="HU244" s="21"/>
      <c r="HV244" s="21"/>
      <c r="HW244" s="21"/>
      <c r="HX244" s="21"/>
      <c r="HY244" s="21"/>
      <c r="HZ244" s="21"/>
      <c r="IA244" s="21"/>
      <c r="IB244" s="21"/>
      <c r="IC244" s="21"/>
      <c r="ID244" s="21"/>
      <c r="IE244" s="21"/>
      <c r="IF244" s="21"/>
      <c r="IG244" s="21"/>
      <c r="IH244" s="21"/>
      <c r="II244" s="21"/>
      <c r="IJ244" s="21"/>
      <c r="IK244" s="21"/>
      <c r="IL244" s="21"/>
      <c r="IM244" s="21"/>
      <c r="IN244" s="21"/>
      <c r="IO244" s="21"/>
      <c r="IP244" s="21"/>
      <c r="IQ244" s="21"/>
      <c r="IR244" s="21"/>
      <c r="IS244" s="21"/>
      <c r="IT244" s="21"/>
    </row>
    <row r="245" spans="1:254" s="3" customFormat="1" ht="27" customHeight="1">
      <c r="A245" s="11">
        <v>243</v>
      </c>
      <c r="B245" s="13" t="str">
        <f>"陈海玲"</f>
        <v>陈海玲</v>
      </c>
      <c r="C245" s="13" t="s">
        <v>13</v>
      </c>
      <c r="D245" s="13" t="str">
        <f>"230702105028"</f>
        <v>230702105028</v>
      </c>
      <c r="E245" s="18">
        <v>62.085</v>
      </c>
      <c r="F245" s="19" t="s">
        <v>10</v>
      </c>
      <c r="G245" s="19" t="s">
        <v>10</v>
      </c>
      <c r="H245" s="18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  <c r="EA245" s="20"/>
      <c r="EB245" s="20"/>
      <c r="EC245" s="20"/>
      <c r="ED245" s="20"/>
      <c r="EE245" s="20"/>
      <c r="EF245" s="20"/>
      <c r="EG245" s="20"/>
      <c r="EH245" s="20"/>
      <c r="EI245" s="20"/>
      <c r="EJ245" s="20"/>
      <c r="EK245" s="20"/>
      <c r="EL245" s="20"/>
      <c r="EM245" s="20"/>
      <c r="EN245" s="20"/>
      <c r="EO245" s="20"/>
      <c r="EP245" s="20"/>
      <c r="EQ245" s="20"/>
      <c r="ER245" s="20"/>
      <c r="ES245" s="20"/>
      <c r="ET245" s="20"/>
      <c r="EU245" s="20"/>
      <c r="EV245" s="20"/>
      <c r="EW245" s="20"/>
      <c r="EX245" s="20"/>
      <c r="EY245" s="20"/>
      <c r="EZ245" s="20"/>
      <c r="FA245" s="20"/>
      <c r="FB245" s="20"/>
      <c r="FC245" s="20"/>
      <c r="FD245" s="20"/>
      <c r="FE245" s="20"/>
      <c r="FF245" s="20"/>
      <c r="FG245" s="20"/>
      <c r="FH245" s="20"/>
      <c r="FI245" s="20"/>
      <c r="FJ245" s="20"/>
      <c r="FK245" s="20"/>
      <c r="FL245" s="20"/>
      <c r="FM245" s="20"/>
      <c r="FN245" s="20"/>
      <c r="FO245" s="20"/>
      <c r="FP245" s="20"/>
      <c r="FQ245" s="20"/>
      <c r="FR245" s="20"/>
      <c r="FS245" s="20"/>
      <c r="FT245" s="20"/>
      <c r="FU245" s="20"/>
      <c r="FV245" s="20"/>
      <c r="FW245" s="20"/>
      <c r="FX245" s="20"/>
      <c r="FY245" s="20"/>
      <c r="FZ245" s="20"/>
      <c r="GA245" s="20"/>
      <c r="GB245" s="20"/>
      <c r="GC245" s="20"/>
      <c r="GD245" s="20"/>
      <c r="GE245" s="20"/>
      <c r="GF245" s="20"/>
      <c r="GG245" s="20"/>
      <c r="GH245" s="20"/>
      <c r="GI245" s="20"/>
      <c r="GJ245" s="20"/>
      <c r="GK245" s="20"/>
      <c r="GL245" s="20"/>
      <c r="GM245" s="20"/>
      <c r="GN245" s="20"/>
      <c r="GO245" s="20"/>
      <c r="GP245" s="20"/>
      <c r="GQ245" s="20"/>
      <c r="GR245" s="20"/>
      <c r="GS245" s="20"/>
      <c r="GT245" s="21"/>
      <c r="GU245" s="21"/>
      <c r="GV245" s="21"/>
      <c r="GW245" s="21"/>
      <c r="GX245" s="21"/>
      <c r="GY245" s="21"/>
      <c r="GZ245" s="21"/>
      <c r="HA245" s="21"/>
      <c r="HB245" s="21"/>
      <c r="HC245" s="21"/>
      <c r="HD245" s="21"/>
      <c r="HE245" s="21"/>
      <c r="HF245" s="21"/>
      <c r="HG245" s="21"/>
      <c r="HH245" s="21"/>
      <c r="HI245" s="21"/>
      <c r="HJ245" s="21"/>
      <c r="HK245" s="21"/>
      <c r="HL245" s="21"/>
      <c r="HM245" s="21"/>
      <c r="HN245" s="21"/>
      <c r="HO245" s="21"/>
      <c r="HP245" s="21"/>
      <c r="HQ245" s="21"/>
      <c r="HR245" s="21"/>
      <c r="HS245" s="21"/>
      <c r="HT245" s="21"/>
      <c r="HU245" s="21"/>
      <c r="HV245" s="21"/>
      <c r="HW245" s="21"/>
      <c r="HX245" s="21"/>
      <c r="HY245" s="21"/>
      <c r="HZ245" s="21"/>
      <c r="IA245" s="21"/>
      <c r="IB245" s="21"/>
      <c r="IC245" s="21"/>
      <c r="ID245" s="21"/>
      <c r="IE245" s="21"/>
      <c r="IF245" s="21"/>
      <c r="IG245" s="21"/>
      <c r="IH245" s="21"/>
      <c r="II245" s="21"/>
      <c r="IJ245" s="21"/>
      <c r="IK245" s="21"/>
      <c r="IL245" s="21"/>
      <c r="IM245" s="21"/>
      <c r="IN245" s="21"/>
      <c r="IO245" s="21"/>
      <c r="IP245" s="21"/>
      <c r="IQ245" s="21"/>
      <c r="IR245" s="21"/>
      <c r="IS245" s="21"/>
      <c r="IT245" s="21"/>
    </row>
    <row r="246" spans="1:254" s="3" customFormat="1" ht="27" customHeight="1">
      <c r="A246" s="11">
        <v>244</v>
      </c>
      <c r="B246" s="13" t="str">
        <f>"陈小茜"</f>
        <v>陈小茜</v>
      </c>
      <c r="C246" s="13" t="s">
        <v>13</v>
      </c>
      <c r="D246" s="13" t="str">
        <f>"230702104212"</f>
        <v>230702104212</v>
      </c>
      <c r="E246" s="18">
        <v>61.835</v>
      </c>
      <c r="F246" s="19" t="s">
        <v>10</v>
      </c>
      <c r="G246" s="19" t="s">
        <v>10</v>
      </c>
      <c r="H246" s="18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  <c r="DV246" s="20"/>
      <c r="DW246" s="20"/>
      <c r="DX246" s="20"/>
      <c r="DY246" s="20"/>
      <c r="DZ246" s="20"/>
      <c r="EA246" s="20"/>
      <c r="EB246" s="20"/>
      <c r="EC246" s="20"/>
      <c r="ED246" s="20"/>
      <c r="EE246" s="20"/>
      <c r="EF246" s="20"/>
      <c r="EG246" s="20"/>
      <c r="EH246" s="20"/>
      <c r="EI246" s="20"/>
      <c r="EJ246" s="20"/>
      <c r="EK246" s="20"/>
      <c r="EL246" s="20"/>
      <c r="EM246" s="20"/>
      <c r="EN246" s="20"/>
      <c r="EO246" s="20"/>
      <c r="EP246" s="20"/>
      <c r="EQ246" s="20"/>
      <c r="ER246" s="20"/>
      <c r="ES246" s="20"/>
      <c r="ET246" s="20"/>
      <c r="EU246" s="20"/>
      <c r="EV246" s="20"/>
      <c r="EW246" s="20"/>
      <c r="EX246" s="20"/>
      <c r="EY246" s="20"/>
      <c r="EZ246" s="20"/>
      <c r="FA246" s="20"/>
      <c r="FB246" s="20"/>
      <c r="FC246" s="20"/>
      <c r="FD246" s="20"/>
      <c r="FE246" s="20"/>
      <c r="FF246" s="20"/>
      <c r="FG246" s="20"/>
      <c r="FH246" s="20"/>
      <c r="FI246" s="20"/>
      <c r="FJ246" s="20"/>
      <c r="FK246" s="20"/>
      <c r="FL246" s="20"/>
      <c r="FM246" s="20"/>
      <c r="FN246" s="20"/>
      <c r="FO246" s="20"/>
      <c r="FP246" s="20"/>
      <c r="FQ246" s="20"/>
      <c r="FR246" s="20"/>
      <c r="FS246" s="20"/>
      <c r="FT246" s="20"/>
      <c r="FU246" s="20"/>
      <c r="FV246" s="20"/>
      <c r="FW246" s="20"/>
      <c r="FX246" s="20"/>
      <c r="FY246" s="20"/>
      <c r="FZ246" s="20"/>
      <c r="GA246" s="20"/>
      <c r="GB246" s="20"/>
      <c r="GC246" s="20"/>
      <c r="GD246" s="20"/>
      <c r="GE246" s="20"/>
      <c r="GF246" s="20"/>
      <c r="GG246" s="20"/>
      <c r="GH246" s="20"/>
      <c r="GI246" s="20"/>
      <c r="GJ246" s="20"/>
      <c r="GK246" s="20"/>
      <c r="GL246" s="20"/>
      <c r="GM246" s="20"/>
      <c r="GN246" s="20"/>
      <c r="GO246" s="20"/>
      <c r="GP246" s="20"/>
      <c r="GQ246" s="20"/>
      <c r="GR246" s="20"/>
      <c r="GS246" s="20"/>
      <c r="GT246" s="21"/>
      <c r="GU246" s="21"/>
      <c r="GV246" s="21"/>
      <c r="GW246" s="21"/>
      <c r="GX246" s="21"/>
      <c r="GY246" s="21"/>
      <c r="GZ246" s="21"/>
      <c r="HA246" s="21"/>
      <c r="HB246" s="21"/>
      <c r="HC246" s="21"/>
      <c r="HD246" s="21"/>
      <c r="HE246" s="21"/>
      <c r="HF246" s="21"/>
      <c r="HG246" s="21"/>
      <c r="HH246" s="21"/>
      <c r="HI246" s="21"/>
      <c r="HJ246" s="21"/>
      <c r="HK246" s="21"/>
      <c r="HL246" s="21"/>
      <c r="HM246" s="21"/>
      <c r="HN246" s="21"/>
      <c r="HO246" s="21"/>
      <c r="HP246" s="21"/>
      <c r="HQ246" s="21"/>
      <c r="HR246" s="21"/>
      <c r="HS246" s="21"/>
      <c r="HT246" s="21"/>
      <c r="HU246" s="21"/>
      <c r="HV246" s="21"/>
      <c r="HW246" s="21"/>
      <c r="HX246" s="21"/>
      <c r="HY246" s="21"/>
      <c r="HZ246" s="21"/>
      <c r="IA246" s="21"/>
      <c r="IB246" s="21"/>
      <c r="IC246" s="21"/>
      <c r="ID246" s="21"/>
      <c r="IE246" s="21"/>
      <c r="IF246" s="21"/>
      <c r="IG246" s="21"/>
      <c r="IH246" s="21"/>
      <c r="II246" s="21"/>
      <c r="IJ246" s="21"/>
      <c r="IK246" s="21"/>
      <c r="IL246" s="21"/>
      <c r="IM246" s="21"/>
      <c r="IN246" s="21"/>
      <c r="IO246" s="21"/>
      <c r="IP246" s="21"/>
      <c r="IQ246" s="21"/>
      <c r="IR246" s="21"/>
      <c r="IS246" s="21"/>
      <c r="IT246" s="21"/>
    </row>
    <row r="247" spans="1:254" s="3" customFormat="1" ht="27" customHeight="1">
      <c r="A247" s="11">
        <v>245</v>
      </c>
      <c r="B247" s="13" t="str">
        <f>"王小南"</f>
        <v>王小南</v>
      </c>
      <c r="C247" s="13" t="s">
        <v>13</v>
      </c>
      <c r="D247" s="13" t="str">
        <f>"230702104705"</f>
        <v>230702104705</v>
      </c>
      <c r="E247" s="18">
        <v>61.685</v>
      </c>
      <c r="F247" s="19" t="s">
        <v>10</v>
      </c>
      <c r="G247" s="19" t="s">
        <v>10</v>
      </c>
      <c r="H247" s="18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  <c r="FD247" s="20"/>
      <c r="FE247" s="20"/>
      <c r="FF247" s="20"/>
      <c r="FG247" s="20"/>
      <c r="FH247" s="20"/>
      <c r="FI247" s="20"/>
      <c r="FJ247" s="20"/>
      <c r="FK247" s="20"/>
      <c r="FL247" s="20"/>
      <c r="FM247" s="20"/>
      <c r="FN247" s="20"/>
      <c r="FO247" s="20"/>
      <c r="FP247" s="20"/>
      <c r="FQ247" s="20"/>
      <c r="FR247" s="20"/>
      <c r="FS247" s="20"/>
      <c r="FT247" s="20"/>
      <c r="FU247" s="20"/>
      <c r="FV247" s="20"/>
      <c r="FW247" s="20"/>
      <c r="FX247" s="20"/>
      <c r="FY247" s="20"/>
      <c r="FZ247" s="20"/>
      <c r="GA247" s="20"/>
      <c r="GB247" s="20"/>
      <c r="GC247" s="20"/>
      <c r="GD247" s="20"/>
      <c r="GE247" s="20"/>
      <c r="GF247" s="20"/>
      <c r="GG247" s="20"/>
      <c r="GH247" s="20"/>
      <c r="GI247" s="20"/>
      <c r="GJ247" s="20"/>
      <c r="GK247" s="20"/>
      <c r="GL247" s="20"/>
      <c r="GM247" s="20"/>
      <c r="GN247" s="20"/>
      <c r="GO247" s="20"/>
      <c r="GP247" s="20"/>
      <c r="GQ247" s="20"/>
      <c r="GR247" s="20"/>
      <c r="GS247" s="20"/>
      <c r="GT247" s="21"/>
      <c r="GU247" s="21"/>
      <c r="GV247" s="21"/>
      <c r="GW247" s="21"/>
      <c r="GX247" s="21"/>
      <c r="GY247" s="21"/>
      <c r="GZ247" s="21"/>
      <c r="HA247" s="21"/>
      <c r="HB247" s="21"/>
      <c r="HC247" s="21"/>
      <c r="HD247" s="21"/>
      <c r="HE247" s="21"/>
      <c r="HF247" s="21"/>
      <c r="HG247" s="21"/>
      <c r="HH247" s="21"/>
      <c r="HI247" s="21"/>
      <c r="HJ247" s="21"/>
      <c r="HK247" s="21"/>
      <c r="HL247" s="21"/>
      <c r="HM247" s="21"/>
      <c r="HN247" s="21"/>
      <c r="HO247" s="21"/>
      <c r="HP247" s="21"/>
      <c r="HQ247" s="21"/>
      <c r="HR247" s="21"/>
      <c r="HS247" s="21"/>
      <c r="HT247" s="21"/>
      <c r="HU247" s="21"/>
      <c r="HV247" s="21"/>
      <c r="HW247" s="21"/>
      <c r="HX247" s="21"/>
      <c r="HY247" s="21"/>
      <c r="HZ247" s="21"/>
      <c r="IA247" s="21"/>
      <c r="IB247" s="21"/>
      <c r="IC247" s="21"/>
      <c r="ID247" s="21"/>
      <c r="IE247" s="21"/>
      <c r="IF247" s="21"/>
      <c r="IG247" s="21"/>
      <c r="IH247" s="21"/>
      <c r="II247" s="21"/>
      <c r="IJ247" s="21"/>
      <c r="IK247" s="21"/>
      <c r="IL247" s="21"/>
      <c r="IM247" s="21"/>
      <c r="IN247" s="21"/>
      <c r="IO247" s="21"/>
      <c r="IP247" s="21"/>
      <c r="IQ247" s="21"/>
      <c r="IR247" s="21"/>
      <c r="IS247" s="21"/>
      <c r="IT247" s="21"/>
    </row>
    <row r="248" spans="1:254" s="3" customFormat="1" ht="27" customHeight="1">
      <c r="A248" s="11">
        <v>246</v>
      </c>
      <c r="B248" s="13" t="str">
        <f>"王夏新"</f>
        <v>王夏新</v>
      </c>
      <c r="C248" s="13" t="s">
        <v>13</v>
      </c>
      <c r="D248" s="13" t="str">
        <f>"230702105119"</f>
        <v>230702105119</v>
      </c>
      <c r="E248" s="18">
        <v>61.635</v>
      </c>
      <c r="F248" s="19" t="s">
        <v>10</v>
      </c>
      <c r="G248" s="19" t="s">
        <v>10</v>
      </c>
      <c r="H248" s="18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  <c r="EC248" s="20"/>
      <c r="ED248" s="20"/>
      <c r="EE248" s="20"/>
      <c r="EF248" s="20"/>
      <c r="EG248" s="20"/>
      <c r="EH248" s="20"/>
      <c r="EI248" s="20"/>
      <c r="EJ248" s="20"/>
      <c r="EK248" s="20"/>
      <c r="EL248" s="20"/>
      <c r="EM248" s="20"/>
      <c r="EN248" s="20"/>
      <c r="EO248" s="20"/>
      <c r="EP248" s="20"/>
      <c r="EQ248" s="20"/>
      <c r="ER248" s="20"/>
      <c r="ES248" s="20"/>
      <c r="ET248" s="20"/>
      <c r="EU248" s="20"/>
      <c r="EV248" s="20"/>
      <c r="EW248" s="20"/>
      <c r="EX248" s="20"/>
      <c r="EY248" s="20"/>
      <c r="EZ248" s="20"/>
      <c r="FA248" s="20"/>
      <c r="FB248" s="20"/>
      <c r="FC248" s="20"/>
      <c r="FD248" s="20"/>
      <c r="FE248" s="20"/>
      <c r="FF248" s="20"/>
      <c r="FG248" s="20"/>
      <c r="FH248" s="20"/>
      <c r="FI248" s="20"/>
      <c r="FJ248" s="20"/>
      <c r="FK248" s="20"/>
      <c r="FL248" s="20"/>
      <c r="FM248" s="20"/>
      <c r="FN248" s="20"/>
      <c r="FO248" s="20"/>
      <c r="FP248" s="20"/>
      <c r="FQ248" s="20"/>
      <c r="FR248" s="20"/>
      <c r="FS248" s="20"/>
      <c r="FT248" s="20"/>
      <c r="FU248" s="20"/>
      <c r="FV248" s="20"/>
      <c r="FW248" s="20"/>
      <c r="FX248" s="20"/>
      <c r="FY248" s="20"/>
      <c r="FZ248" s="20"/>
      <c r="GA248" s="20"/>
      <c r="GB248" s="20"/>
      <c r="GC248" s="20"/>
      <c r="GD248" s="20"/>
      <c r="GE248" s="20"/>
      <c r="GF248" s="20"/>
      <c r="GG248" s="20"/>
      <c r="GH248" s="20"/>
      <c r="GI248" s="20"/>
      <c r="GJ248" s="20"/>
      <c r="GK248" s="20"/>
      <c r="GL248" s="20"/>
      <c r="GM248" s="20"/>
      <c r="GN248" s="20"/>
      <c r="GO248" s="20"/>
      <c r="GP248" s="20"/>
      <c r="GQ248" s="20"/>
      <c r="GR248" s="20"/>
      <c r="GS248" s="20"/>
      <c r="GT248" s="21"/>
      <c r="GU248" s="21"/>
      <c r="GV248" s="21"/>
      <c r="GW248" s="21"/>
      <c r="GX248" s="21"/>
      <c r="GY248" s="21"/>
      <c r="GZ248" s="21"/>
      <c r="HA248" s="21"/>
      <c r="HB248" s="21"/>
      <c r="HC248" s="21"/>
      <c r="HD248" s="21"/>
      <c r="HE248" s="21"/>
      <c r="HF248" s="21"/>
      <c r="HG248" s="21"/>
      <c r="HH248" s="21"/>
      <c r="HI248" s="21"/>
      <c r="HJ248" s="21"/>
      <c r="HK248" s="21"/>
      <c r="HL248" s="21"/>
      <c r="HM248" s="21"/>
      <c r="HN248" s="21"/>
      <c r="HO248" s="21"/>
      <c r="HP248" s="21"/>
      <c r="HQ248" s="21"/>
      <c r="HR248" s="21"/>
      <c r="HS248" s="21"/>
      <c r="HT248" s="21"/>
      <c r="HU248" s="21"/>
      <c r="HV248" s="21"/>
      <c r="HW248" s="21"/>
      <c r="HX248" s="21"/>
      <c r="HY248" s="21"/>
      <c r="HZ248" s="21"/>
      <c r="IA248" s="21"/>
      <c r="IB248" s="21"/>
      <c r="IC248" s="21"/>
      <c r="ID248" s="21"/>
      <c r="IE248" s="21"/>
      <c r="IF248" s="21"/>
      <c r="IG248" s="21"/>
      <c r="IH248" s="21"/>
      <c r="II248" s="21"/>
      <c r="IJ248" s="21"/>
      <c r="IK248" s="21"/>
      <c r="IL248" s="21"/>
      <c r="IM248" s="21"/>
      <c r="IN248" s="21"/>
      <c r="IO248" s="21"/>
      <c r="IP248" s="21"/>
      <c r="IQ248" s="21"/>
      <c r="IR248" s="21"/>
      <c r="IS248" s="21"/>
      <c r="IT248" s="21"/>
    </row>
    <row r="249" spans="1:254" s="3" customFormat="1" ht="27" customHeight="1">
      <c r="A249" s="11">
        <v>247</v>
      </c>
      <c r="B249" s="13" t="str">
        <f>"唐春河"</f>
        <v>唐春河</v>
      </c>
      <c r="C249" s="13" t="s">
        <v>13</v>
      </c>
      <c r="D249" s="13" t="str">
        <f>"230702104421"</f>
        <v>230702104421</v>
      </c>
      <c r="E249" s="18">
        <v>61.615</v>
      </c>
      <c r="F249" s="19" t="s">
        <v>10</v>
      </c>
      <c r="G249" s="19" t="s">
        <v>10</v>
      </c>
      <c r="H249" s="18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  <c r="DV249" s="20"/>
      <c r="DW249" s="20"/>
      <c r="DX249" s="20"/>
      <c r="DY249" s="20"/>
      <c r="DZ249" s="20"/>
      <c r="EA249" s="20"/>
      <c r="EB249" s="20"/>
      <c r="EC249" s="20"/>
      <c r="ED249" s="20"/>
      <c r="EE249" s="20"/>
      <c r="EF249" s="20"/>
      <c r="EG249" s="20"/>
      <c r="EH249" s="20"/>
      <c r="EI249" s="20"/>
      <c r="EJ249" s="20"/>
      <c r="EK249" s="20"/>
      <c r="EL249" s="20"/>
      <c r="EM249" s="20"/>
      <c r="EN249" s="20"/>
      <c r="EO249" s="20"/>
      <c r="EP249" s="20"/>
      <c r="EQ249" s="20"/>
      <c r="ER249" s="20"/>
      <c r="ES249" s="20"/>
      <c r="ET249" s="20"/>
      <c r="EU249" s="20"/>
      <c r="EV249" s="20"/>
      <c r="EW249" s="20"/>
      <c r="EX249" s="20"/>
      <c r="EY249" s="20"/>
      <c r="EZ249" s="20"/>
      <c r="FA249" s="20"/>
      <c r="FB249" s="20"/>
      <c r="FC249" s="20"/>
      <c r="FD249" s="20"/>
      <c r="FE249" s="20"/>
      <c r="FF249" s="20"/>
      <c r="FG249" s="20"/>
      <c r="FH249" s="20"/>
      <c r="FI249" s="20"/>
      <c r="FJ249" s="20"/>
      <c r="FK249" s="20"/>
      <c r="FL249" s="20"/>
      <c r="FM249" s="20"/>
      <c r="FN249" s="20"/>
      <c r="FO249" s="20"/>
      <c r="FP249" s="20"/>
      <c r="FQ249" s="20"/>
      <c r="FR249" s="20"/>
      <c r="FS249" s="20"/>
      <c r="FT249" s="20"/>
      <c r="FU249" s="20"/>
      <c r="FV249" s="20"/>
      <c r="FW249" s="20"/>
      <c r="FX249" s="20"/>
      <c r="FY249" s="20"/>
      <c r="FZ249" s="20"/>
      <c r="GA249" s="20"/>
      <c r="GB249" s="20"/>
      <c r="GC249" s="20"/>
      <c r="GD249" s="20"/>
      <c r="GE249" s="20"/>
      <c r="GF249" s="20"/>
      <c r="GG249" s="20"/>
      <c r="GH249" s="20"/>
      <c r="GI249" s="20"/>
      <c r="GJ249" s="20"/>
      <c r="GK249" s="20"/>
      <c r="GL249" s="20"/>
      <c r="GM249" s="20"/>
      <c r="GN249" s="20"/>
      <c r="GO249" s="20"/>
      <c r="GP249" s="20"/>
      <c r="GQ249" s="20"/>
      <c r="GR249" s="20"/>
      <c r="GS249" s="20"/>
      <c r="GT249" s="21"/>
      <c r="GU249" s="21"/>
      <c r="GV249" s="21"/>
      <c r="GW249" s="21"/>
      <c r="GX249" s="21"/>
      <c r="GY249" s="21"/>
      <c r="GZ249" s="21"/>
      <c r="HA249" s="21"/>
      <c r="HB249" s="21"/>
      <c r="HC249" s="21"/>
      <c r="HD249" s="21"/>
      <c r="HE249" s="21"/>
      <c r="HF249" s="21"/>
      <c r="HG249" s="21"/>
      <c r="HH249" s="21"/>
      <c r="HI249" s="21"/>
      <c r="HJ249" s="21"/>
      <c r="HK249" s="21"/>
      <c r="HL249" s="21"/>
      <c r="HM249" s="21"/>
      <c r="HN249" s="21"/>
      <c r="HO249" s="21"/>
      <c r="HP249" s="21"/>
      <c r="HQ249" s="21"/>
      <c r="HR249" s="21"/>
      <c r="HS249" s="21"/>
      <c r="HT249" s="21"/>
      <c r="HU249" s="21"/>
      <c r="HV249" s="21"/>
      <c r="HW249" s="21"/>
      <c r="HX249" s="21"/>
      <c r="HY249" s="21"/>
      <c r="HZ249" s="21"/>
      <c r="IA249" s="21"/>
      <c r="IB249" s="21"/>
      <c r="IC249" s="21"/>
      <c r="ID249" s="21"/>
      <c r="IE249" s="21"/>
      <c r="IF249" s="21"/>
      <c r="IG249" s="21"/>
      <c r="IH249" s="21"/>
      <c r="II249" s="21"/>
      <c r="IJ249" s="21"/>
      <c r="IK249" s="21"/>
      <c r="IL249" s="21"/>
      <c r="IM249" s="21"/>
      <c r="IN249" s="21"/>
      <c r="IO249" s="21"/>
      <c r="IP249" s="21"/>
      <c r="IQ249" s="21"/>
      <c r="IR249" s="21"/>
      <c r="IS249" s="21"/>
      <c r="IT249" s="21"/>
    </row>
    <row r="250" spans="1:254" s="3" customFormat="1" ht="27" customHeight="1">
      <c r="A250" s="11">
        <v>248</v>
      </c>
      <c r="B250" s="13" t="str">
        <f>"麦苗菁"</f>
        <v>麦苗菁</v>
      </c>
      <c r="C250" s="13" t="s">
        <v>13</v>
      </c>
      <c r="D250" s="13" t="str">
        <f>"230702104620"</f>
        <v>230702104620</v>
      </c>
      <c r="E250" s="18">
        <v>61.385</v>
      </c>
      <c r="F250" s="19" t="s">
        <v>10</v>
      </c>
      <c r="G250" s="19" t="s">
        <v>10</v>
      </c>
      <c r="H250" s="18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  <c r="DV250" s="20"/>
      <c r="DW250" s="20"/>
      <c r="DX250" s="20"/>
      <c r="DY250" s="20"/>
      <c r="DZ250" s="20"/>
      <c r="EA250" s="20"/>
      <c r="EB250" s="20"/>
      <c r="EC250" s="20"/>
      <c r="ED250" s="20"/>
      <c r="EE250" s="20"/>
      <c r="EF250" s="20"/>
      <c r="EG250" s="20"/>
      <c r="EH250" s="20"/>
      <c r="EI250" s="20"/>
      <c r="EJ250" s="20"/>
      <c r="EK250" s="20"/>
      <c r="EL250" s="20"/>
      <c r="EM250" s="20"/>
      <c r="EN250" s="20"/>
      <c r="EO250" s="20"/>
      <c r="EP250" s="20"/>
      <c r="EQ250" s="20"/>
      <c r="ER250" s="20"/>
      <c r="ES250" s="20"/>
      <c r="ET250" s="20"/>
      <c r="EU250" s="20"/>
      <c r="EV250" s="20"/>
      <c r="EW250" s="20"/>
      <c r="EX250" s="20"/>
      <c r="EY250" s="20"/>
      <c r="EZ250" s="20"/>
      <c r="FA250" s="20"/>
      <c r="FB250" s="20"/>
      <c r="FC250" s="20"/>
      <c r="FD250" s="20"/>
      <c r="FE250" s="20"/>
      <c r="FF250" s="20"/>
      <c r="FG250" s="20"/>
      <c r="FH250" s="20"/>
      <c r="FI250" s="20"/>
      <c r="FJ250" s="20"/>
      <c r="FK250" s="20"/>
      <c r="FL250" s="20"/>
      <c r="FM250" s="20"/>
      <c r="FN250" s="20"/>
      <c r="FO250" s="20"/>
      <c r="FP250" s="20"/>
      <c r="FQ250" s="20"/>
      <c r="FR250" s="20"/>
      <c r="FS250" s="20"/>
      <c r="FT250" s="20"/>
      <c r="FU250" s="20"/>
      <c r="FV250" s="20"/>
      <c r="FW250" s="20"/>
      <c r="FX250" s="20"/>
      <c r="FY250" s="20"/>
      <c r="FZ250" s="20"/>
      <c r="GA250" s="20"/>
      <c r="GB250" s="20"/>
      <c r="GC250" s="20"/>
      <c r="GD250" s="20"/>
      <c r="GE250" s="20"/>
      <c r="GF250" s="20"/>
      <c r="GG250" s="20"/>
      <c r="GH250" s="20"/>
      <c r="GI250" s="20"/>
      <c r="GJ250" s="20"/>
      <c r="GK250" s="20"/>
      <c r="GL250" s="20"/>
      <c r="GM250" s="20"/>
      <c r="GN250" s="20"/>
      <c r="GO250" s="20"/>
      <c r="GP250" s="20"/>
      <c r="GQ250" s="20"/>
      <c r="GR250" s="20"/>
      <c r="GS250" s="20"/>
      <c r="GT250" s="21"/>
      <c r="GU250" s="21"/>
      <c r="GV250" s="21"/>
      <c r="GW250" s="21"/>
      <c r="GX250" s="21"/>
      <c r="GY250" s="21"/>
      <c r="GZ250" s="21"/>
      <c r="HA250" s="21"/>
      <c r="HB250" s="21"/>
      <c r="HC250" s="21"/>
      <c r="HD250" s="21"/>
      <c r="HE250" s="21"/>
      <c r="HF250" s="21"/>
      <c r="HG250" s="21"/>
      <c r="HH250" s="21"/>
      <c r="HI250" s="21"/>
      <c r="HJ250" s="21"/>
      <c r="HK250" s="21"/>
      <c r="HL250" s="21"/>
      <c r="HM250" s="21"/>
      <c r="HN250" s="21"/>
      <c r="HO250" s="21"/>
      <c r="HP250" s="21"/>
      <c r="HQ250" s="21"/>
      <c r="HR250" s="21"/>
      <c r="HS250" s="21"/>
      <c r="HT250" s="21"/>
      <c r="HU250" s="21"/>
      <c r="HV250" s="21"/>
      <c r="HW250" s="21"/>
      <c r="HX250" s="21"/>
      <c r="HY250" s="21"/>
      <c r="HZ250" s="21"/>
      <c r="IA250" s="21"/>
      <c r="IB250" s="21"/>
      <c r="IC250" s="21"/>
      <c r="ID250" s="21"/>
      <c r="IE250" s="21"/>
      <c r="IF250" s="21"/>
      <c r="IG250" s="21"/>
      <c r="IH250" s="21"/>
      <c r="II250" s="21"/>
      <c r="IJ250" s="21"/>
      <c r="IK250" s="21"/>
      <c r="IL250" s="21"/>
      <c r="IM250" s="21"/>
      <c r="IN250" s="21"/>
      <c r="IO250" s="21"/>
      <c r="IP250" s="21"/>
      <c r="IQ250" s="21"/>
      <c r="IR250" s="21"/>
      <c r="IS250" s="21"/>
      <c r="IT250" s="21"/>
    </row>
    <row r="251" spans="1:254" s="3" customFormat="1" ht="27" customHeight="1">
      <c r="A251" s="11">
        <v>249</v>
      </c>
      <c r="B251" s="13" t="str">
        <f>"王光钰"</f>
        <v>王光钰</v>
      </c>
      <c r="C251" s="13" t="s">
        <v>13</v>
      </c>
      <c r="D251" s="13" t="str">
        <f>"230702103920"</f>
        <v>230702103920</v>
      </c>
      <c r="E251" s="18">
        <v>61.25</v>
      </c>
      <c r="F251" s="19" t="s">
        <v>10</v>
      </c>
      <c r="G251" s="19" t="s">
        <v>10</v>
      </c>
      <c r="H251" s="18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  <c r="EC251" s="20"/>
      <c r="ED251" s="20"/>
      <c r="EE251" s="20"/>
      <c r="EF251" s="20"/>
      <c r="EG251" s="20"/>
      <c r="EH251" s="20"/>
      <c r="EI251" s="20"/>
      <c r="EJ251" s="20"/>
      <c r="EK251" s="20"/>
      <c r="EL251" s="20"/>
      <c r="EM251" s="20"/>
      <c r="EN251" s="20"/>
      <c r="EO251" s="20"/>
      <c r="EP251" s="20"/>
      <c r="EQ251" s="20"/>
      <c r="ER251" s="20"/>
      <c r="ES251" s="20"/>
      <c r="ET251" s="20"/>
      <c r="EU251" s="20"/>
      <c r="EV251" s="20"/>
      <c r="EW251" s="20"/>
      <c r="EX251" s="20"/>
      <c r="EY251" s="20"/>
      <c r="EZ251" s="20"/>
      <c r="FA251" s="20"/>
      <c r="FB251" s="20"/>
      <c r="FC251" s="20"/>
      <c r="FD251" s="20"/>
      <c r="FE251" s="20"/>
      <c r="FF251" s="20"/>
      <c r="FG251" s="20"/>
      <c r="FH251" s="20"/>
      <c r="FI251" s="20"/>
      <c r="FJ251" s="20"/>
      <c r="FK251" s="20"/>
      <c r="FL251" s="20"/>
      <c r="FM251" s="20"/>
      <c r="FN251" s="20"/>
      <c r="FO251" s="20"/>
      <c r="FP251" s="20"/>
      <c r="FQ251" s="20"/>
      <c r="FR251" s="20"/>
      <c r="FS251" s="20"/>
      <c r="FT251" s="20"/>
      <c r="FU251" s="20"/>
      <c r="FV251" s="20"/>
      <c r="FW251" s="20"/>
      <c r="FX251" s="20"/>
      <c r="FY251" s="20"/>
      <c r="FZ251" s="20"/>
      <c r="GA251" s="20"/>
      <c r="GB251" s="20"/>
      <c r="GC251" s="20"/>
      <c r="GD251" s="20"/>
      <c r="GE251" s="20"/>
      <c r="GF251" s="20"/>
      <c r="GG251" s="20"/>
      <c r="GH251" s="20"/>
      <c r="GI251" s="20"/>
      <c r="GJ251" s="20"/>
      <c r="GK251" s="20"/>
      <c r="GL251" s="20"/>
      <c r="GM251" s="20"/>
      <c r="GN251" s="20"/>
      <c r="GO251" s="20"/>
      <c r="GP251" s="20"/>
      <c r="GQ251" s="20"/>
      <c r="GR251" s="20"/>
      <c r="GS251" s="20"/>
      <c r="GT251" s="21"/>
      <c r="GU251" s="21"/>
      <c r="GV251" s="21"/>
      <c r="GW251" s="21"/>
      <c r="GX251" s="21"/>
      <c r="GY251" s="21"/>
      <c r="GZ251" s="21"/>
      <c r="HA251" s="21"/>
      <c r="HB251" s="21"/>
      <c r="HC251" s="21"/>
      <c r="HD251" s="21"/>
      <c r="HE251" s="21"/>
      <c r="HF251" s="21"/>
      <c r="HG251" s="21"/>
      <c r="HH251" s="21"/>
      <c r="HI251" s="21"/>
      <c r="HJ251" s="21"/>
      <c r="HK251" s="21"/>
      <c r="HL251" s="21"/>
      <c r="HM251" s="21"/>
      <c r="HN251" s="21"/>
      <c r="HO251" s="21"/>
      <c r="HP251" s="21"/>
      <c r="HQ251" s="21"/>
      <c r="HR251" s="21"/>
      <c r="HS251" s="21"/>
      <c r="HT251" s="21"/>
      <c r="HU251" s="21"/>
      <c r="HV251" s="21"/>
      <c r="HW251" s="21"/>
      <c r="HX251" s="21"/>
      <c r="HY251" s="21"/>
      <c r="HZ251" s="21"/>
      <c r="IA251" s="21"/>
      <c r="IB251" s="21"/>
      <c r="IC251" s="21"/>
      <c r="ID251" s="21"/>
      <c r="IE251" s="21"/>
      <c r="IF251" s="21"/>
      <c r="IG251" s="21"/>
      <c r="IH251" s="21"/>
      <c r="II251" s="21"/>
      <c r="IJ251" s="21"/>
      <c r="IK251" s="21"/>
      <c r="IL251" s="21"/>
      <c r="IM251" s="21"/>
      <c r="IN251" s="21"/>
      <c r="IO251" s="21"/>
      <c r="IP251" s="21"/>
      <c r="IQ251" s="21"/>
      <c r="IR251" s="21"/>
      <c r="IS251" s="21"/>
      <c r="IT251" s="21"/>
    </row>
    <row r="252" spans="1:254" s="3" customFormat="1" ht="27" customHeight="1">
      <c r="A252" s="11">
        <v>250</v>
      </c>
      <c r="B252" s="13" t="str">
        <f>"刘双双"</f>
        <v>刘双双</v>
      </c>
      <c r="C252" s="13" t="s">
        <v>13</v>
      </c>
      <c r="D252" s="13" t="str">
        <f>"230702104024"</f>
        <v>230702104024</v>
      </c>
      <c r="E252" s="18">
        <v>61.05</v>
      </c>
      <c r="F252" s="19" t="s">
        <v>10</v>
      </c>
      <c r="G252" s="19" t="s">
        <v>10</v>
      </c>
      <c r="H252" s="18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  <c r="EC252" s="20"/>
      <c r="ED252" s="20"/>
      <c r="EE252" s="20"/>
      <c r="EF252" s="20"/>
      <c r="EG252" s="20"/>
      <c r="EH252" s="20"/>
      <c r="EI252" s="20"/>
      <c r="EJ252" s="20"/>
      <c r="EK252" s="20"/>
      <c r="EL252" s="20"/>
      <c r="EM252" s="20"/>
      <c r="EN252" s="20"/>
      <c r="EO252" s="20"/>
      <c r="EP252" s="20"/>
      <c r="EQ252" s="20"/>
      <c r="ER252" s="20"/>
      <c r="ES252" s="20"/>
      <c r="ET252" s="20"/>
      <c r="EU252" s="20"/>
      <c r="EV252" s="20"/>
      <c r="EW252" s="20"/>
      <c r="EX252" s="20"/>
      <c r="EY252" s="20"/>
      <c r="EZ252" s="20"/>
      <c r="FA252" s="20"/>
      <c r="FB252" s="20"/>
      <c r="FC252" s="20"/>
      <c r="FD252" s="20"/>
      <c r="FE252" s="20"/>
      <c r="FF252" s="20"/>
      <c r="FG252" s="20"/>
      <c r="FH252" s="20"/>
      <c r="FI252" s="20"/>
      <c r="FJ252" s="20"/>
      <c r="FK252" s="20"/>
      <c r="FL252" s="20"/>
      <c r="FM252" s="20"/>
      <c r="FN252" s="20"/>
      <c r="FO252" s="20"/>
      <c r="FP252" s="20"/>
      <c r="FQ252" s="20"/>
      <c r="FR252" s="20"/>
      <c r="FS252" s="20"/>
      <c r="FT252" s="20"/>
      <c r="FU252" s="20"/>
      <c r="FV252" s="20"/>
      <c r="FW252" s="20"/>
      <c r="FX252" s="20"/>
      <c r="FY252" s="20"/>
      <c r="FZ252" s="20"/>
      <c r="GA252" s="20"/>
      <c r="GB252" s="20"/>
      <c r="GC252" s="20"/>
      <c r="GD252" s="20"/>
      <c r="GE252" s="20"/>
      <c r="GF252" s="20"/>
      <c r="GG252" s="20"/>
      <c r="GH252" s="20"/>
      <c r="GI252" s="20"/>
      <c r="GJ252" s="20"/>
      <c r="GK252" s="20"/>
      <c r="GL252" s="20"/>
      <c r="GM252" s="20"/>
      <c r="GN252" s="20"/>
      <c r="GO252" s="20"/>
      <c r="GP252" s="20"/>
      <c r="GQ252" s="20"/>
      <c r="GR252" s="20"/>
      <c r="GS252" s="20"/>
      <c r="GT252" s="21"/>
      <c r="GU252" s="21"/>
      <c r="GV252" s="21"/>
      <c r="GW252" s="21"/>
      <c r="GX252" s="21"/>
      <c r="GY252" s="21"/>
      <c r="GZ252" s="21"/>
      <c r="HA252" s="21"/>
      <c r="HB252" s="21"/>
      <c r="HC252" s="21"/>
      <c r="HD252" s="21"/>
      <c r="HE252" s="21"/>
      <c r="HF252" s="21"/>
      <c r="HG252" s="21"/>
      <c r="HH252" s="21"/>
      <c r="HI252" s="21"/>
      <c r="HJ252" s="21"/>
      <c r="HK252" s="21"/>
      <c r="HL252" s="21"/>
      <c r="HM252" s="21"/>
      <c r="HN252" s="21"/>
      <c r="HO252" s="21"/>
      <c r="HP252" s="21"/>
      <c r="HQ252" s="21"/>
      <c r="HR252" s="21"/>
      <c r="HS252" s="21"/>
      <c r="HT252" s="21"/>
      <c r="HU252" s="21"/>
      <c r="HV252" s="21"/>
      <c r="HW252" s="21"/>
      <c r="HX252" s="21"/>
      <c r="HY252" s="21"/>
      <c r="HZ252" s="21"/>
      <c r="IA252" s="21"/>
      <c r="IB252" s="21"/>
      <c r="IC252" s="21"/>
      <c r="ID252" s="21"/>
      <c r="IE252" s="21"/>
      <c r="IF252" s="21"/>
      <c r="IG252" s="21"/>
      <c r="IH252" s="21"/>
      <c r="II252" s="21"/>
      <c r="IJ252" s="21"/>
      <c r="IK252" s="21"/>
      <c r="IL252" s="21"/>
      <c r="IM252" s="21"/>
      <c r="IN252" s="21"/>
      <c r="IO252" s="21"/>
      <c r="IP252" s="21"/>
      <c r="IQ252" s="21"/>
      <c r="IR252" s="21"/>
      <c r="IS252" s="21"/>
      <c r="IT252" s="21"/>
    </row>
    <row r="253" spans="1:254" s="3" customFormat="1" ht="27" customHeight="1">
      <c r="A253" s="11">
        <v>251</v>
      </c>
      <c r="B253" s="13" t="str">
        <f>"符梦玉"</f>
        <v>符梦玉</v>
      </c>
      <c r="C253" s="13" t="s">
        <v>13</v>
      </c>
      <c r="D253" s="13" t="str">
        <f>"230702103615"</f>
        <v>230702103615</v>
      </c>
      <c r="E253" s="18">
        <v>60.915</v>
      </c>
      <c r="F253" s="19" t="s">
        <v>10</v>
      </c>
      <c r="G253" s="19" t="s">
        <v>10</v>
      </c>
      <c r="H253" s="18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  <c r="EA253" s="20"/>
      <c r="EB253" s="20"/>
      <c r="EC253" s="20"/>
      <c r="ED253" s="20"/>
      <c r="EE253" s="20"/>
      <c r="EF253" s="20"/>
      <c r="EG253" s="20"/>
      <c r="EH253" s="20"/>
      <c r="EI253" s="20"/>
      <c r="EJ253" s="20"/>
      <c r="EK253" s="20"/>
      <c r="EL253" s="20"/>
      <c r="EM253" s="20"/>
      <c r="EN253" s="20"/>
      <c r="EO253" s="20"/>
      <c r="EP253" s="20"/>
      <c r="EQ253" s="20"/>
      <c r="ER253" s="20"/>
      <c r="ES253" s="20"/>
      <c r="ET253" s="20"/>
      <c r="EU253" s="20"/>
      <c r="EV253" s="20"/>
      <c r="EW253" s="20"/>
      <c r="EX253" s="20"/>
      <c r="EY253" s="20"/>
      <c r="EZ253" s="20"/>
      <c r="FA253" s="20"/>
      <c r="FB253" s="20"/>
      <c r="FC253" s="20"/>
      <c r="FD253" s="20"/>
      <c r="FE253" s="20"/>
      <c r="FF253" s="20"/>
      <c r="FG253" s="20"/>
      <c r="FH253" s="20"/>
      <c r="FI253" s="20"/>
      <c r="FJ253" s="20"/>
      <c r="FK253" s="20"/>
      <c r="FL253" s="20"/>
      <c r="FM253" s="20"/>
      <c r="FN253" s="20"/>
      <c r="FO253" s="20"/>
      <c r="FP253" s="20"/>
      <c r="FQ253" s="20"/>
      <c r="FR253" s="20"/>
      <c r="FS253" s="20"/>
      <c r="FT253" s="20"/>
      <c r="FU253" s="20"/>
      <c r="FV253" s="20"/>
      <c r="FW253" s="20"/>
      <c r="FX253" s="20"/>
      <c r="FY253" s="20"/>
      <c r="FZ253" s="20"/>
      <c r="GA253" s="20"/>
      <c r="GB253" s="20"/>
      <c r="GC253" s="20"/>
      <c r="GD253" s="20"/>
      <c r="GE253" s="20"/>
      <c r="GF253" s="20"/>
      <c r="GG253" s="20"/>
      <c r="GH253" s="20"/>
      <c r="GI253" s="20"/>
      <c r="GJ253" s="20"/>
      <c r="GK253" s="20"/>
      <c r="GL253" s="20"/>
      <c r="GM253" s="20"/>
      <c r="GN253" s="20"/>
      <c r="GO253" s="20"/>
      <c r="GP253" s="20"/>
      <c r="GQ253" s="20"/>
      <c r="GR253" s="20"/>
      <c r="GS253" s="20"/>
      <c r="GT253" s="21"/>
      <c r="GU253" s="21"/>
      <c r="GV253" s="21"/>
      <c r="GW253" s="21"/>
      <c r="GX253" s="21"/>
      <c r="GY253" s="21"/>
      <c r="GZ253" s="21"/>
      <c r="HA253" s="21"/>
      <c r="HB253" s="21"/>
      <c r="HC253" s="21"/>
      <c r="HD253" s="21"/>
      <c r="HE253" s="21"/>
      <c r="HF253" s="21"/>
      <c r="HG253" s="21"/>
      <c r="HH253" s="21"/>
      <c r="HI253" s="21"/>
      <c r="HJ253" s="21"/>
      <c r="HK253" s="21"/>
      <c r="HL253" s="21"/>
      <c r="HM253" s="21"/>
      <c r="HN253" s="21"/>
      <c r="HO253" s="21"/>
      <c r="HP253" s="21"/>
      <c r="HQ253" s="21"/>
      <c r="HR253" s="21"/>
      <c r="HS253" s="21"/>
      <c r="HT253" s="21"/>
      <c r="HU253" s="21"/>
      <c r="HV253" s="21"/>
      <c r="HW253" s="21"/>
      <c r="HX253" s="21"/>
      <c r="HY253" s="21"/>
      <c r="HZ253" s="21"/>
      <c r="IA253" s="21"/>
      <c r="IB253" s="21"/>
      <c r="IC253" s="21"/>
      <c r="ID253" s="21"/>
      <c r="IE253" s="21"/>
      <c r="IF253" s="21"/>
      <c r="IG253" s="21"/>
      <c r="IH253" s="21"/>
      <c r="II253" s="21"/>
      <c r="IJ253" s="21"/>
      <c r="IK253" s="21"/>
      <c r="IL253" s="21"/>
      <c r="IM253" s="21"/>
      <c r="IN253" s="21"/>
      <c r="IO253" s="21"/>
      <c r="IP253" s="21"/>
      <c r="IQ253" s="21"/>
      <c r="IR253" s="21"/>
      <c r="IS253" s="21"/>
      <c r="IT253" s="21"/>
    </row>
    <row r="254" spans="1:254" s="3" customFormat="1" ht="27" customHeight="1">
      <c r="A254" s="11">
        <v>252</v>
      </c>
      <c r="B254" s="13" t="str">
        <f>"刘星余"</f>
        <v>刘星余</v>
      </c>
      <c r="C254" s="13" t="s">
        <v>13</v>
      </c>
      <c r="D254" s="13" t="str">
        <f>"230702103609"</f>
        <v>230702103609</v>
      </c>
      <c r="E254" s="18">
        <v>60.85</v>
      </c>
      <c r="F254" s="19" t="s">
        <v>10</v>
      </c>
      <c r="G254" s="19" t="s">
        <v>10</v>
      </c>
      <c r="H254" s="18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  <c r="DR254" s="20"/>
      <c r="DS254" s="20"/>
      <c r="DT254" s="20"/>
      <c r="DU254" s="20"/>
      <c r="DV254" s="20"/>
      <c r="DW254" s="20"/>
      <c r="DX254" s="20"/>
      <c r="DY254" s="20"/>
      <c r="DZ254" s="20"/>
      <c r="EA254" s="20"/>
      <c r="EB254" s="20"/>
      <c r="EC254" s="20"/>
      <c r="ED254" s="20"/>
      <c r="EE254" s="20"/>
      <c r="EF254" s="20"/>
      <c r="EG254" s="20"/>
      <c r="EH254" s="20"/>
      <c r="EI254" s="20"/>
      <c r="EJ254" s="20"/>
      <c r="EK254" s="20"/>
      <c r="EL254" s="20"/>
      <c r="EM254" s="20"/>
      <c r="EN254" s="20"/>
      <c r="EO254" s="20"/>
      <c r="EP254" s="20"/>
      <c r="EQ254" s="20"/>
      <c r="ER254" s="20"/>
      <c r="ES254" s="20"/>
      <c r="ET254" s="20"/>
      <c r="EU254" s="20"/>
      <c r="EV254" s="20"/>
      <c r="EW254" s="20"/>
      <c r="EX254" s="20"/>
      <c r="EY254" s="20"/>
      <c r="EZ254" s="20"/>
      <c r="FA254" s="20"/>
      <c r="FB254" s="20"/>
      <c r="FC254" s="20"/>
      <c r="FD254" s="20"/>
      <c r="FE254" s="20"/>
      <c r="FF254" s="20"/>
      <c r="FG254" s="20"/>
      <c r="FH254" s="20"/>
      <c r="FI254" s="20"/>
      <c r="FJ254" s="20"/>
      <c r="FK254" s="20"/>
      <c r="FL254" s="20"/>
      <c r="FM254" s="20"/>
      <c r="FN254" s="20"/>
      <c r="FO254" s="20"/>
      <c r="FP254" s="20"/>
      <c r="FQ254" s="20"/>
      <c r="FR254" s="20"/>
      <c r="FS254" s="20"/>
      <c r="FT254" s="20"/>
      <c r="FU254" s="20"/>
      <c r="FV254" s="20"/>
      <c r="FW254" s="20"/>
      <c r="FX254" s="20"/>
      <c r="FY254" s="20"/>
      <c r="FZ254" s="20"/>
      <c r="GA254" s="20"/>
      <c r="GB254" s="20"/>
      <c r="GC254" s="20"/>
      <c r="GD254" s="20"/>
      <c r="GE254" s="20"/>
      <c r="GF254" s="20"/>
      <c r="GG254" s="20"/>
      <c r="GH254" s="20"/>
      <c r="GI254" s="20"/>
      <c r="GJ254" s="20"/>
      <c r="GK254" s="20"/>
      <c r="GL254" s="20"/>
      <c r="GM254" s="20"/>
      <c r="GN254" s="20"/>
      <c r="GO254" s="20"/>
      <c r="GP254" s="20"/>
      <c r="GQ254" s="20"/>
      <c r="GR254" s="20"/>
      <c r="GS254" s="20"/>
      <c r="GT254" s="21"/>
      <c r="GU254" s="21"/>
      <c r="GV254" s="21"/>
      <c r="GW254" s="21"/>
      <c r="GX254" s="21"/>
      <c r="GY254" s="21"/>
      <c r="GZ254" s="21"/>
      <c r="HA254" s="21"/>
      <c r="HB254" s="21"/>
      <c r="HC254" s="21"/>
      <c r="HD254" s="21"/>
      <c r="HE254" s="21"/>
      <c r="HF254" s="21"/>
      <c r="HG254" s="21"/>
      <c r="HH254" s="21"/>
      <c r="HI254" s="21"/>
      <c r="HJ254" s="21"/>
      <c r="HK254" s="21"/>
      <c r="HL254" s="21"/>
      <c r="HM254" s="21"/>
      <c r="HN254" s="21"/>
      <c r="HO254" s="21"/>
      <c r="HP254" s="21"/>
      <c r="HQ254" s="21"/>
      <c r="HR254" s="21"/>
      <c r="HS254" s="21"/>
      <c r="HT254" s="21"/>
      <c r="HU254" s="21"/>
      <c r="HV254" s="21"/>
      <c r="HW254" s="21"/>
      <c r="HX254" s="21"/>
      <c r="HY254" s="21"/>
      <c r="HZ254" s="21"/>
      <c r="IA254" s="21"/>
      <c r="IB254" s="21"/>
      <c r="IC254" s="21"/>
      <c r="ID254" s="21"/>
      <c r="IE254" s="21"/>
      <c r="IF254" s="21"/>
      <c r="IG254" s="21"/>
      <c r="IH254" s="21"/>
      <c r="II254" s="21"/>
      <c r="IJ254" s="21"/>
      <c r="IK254" s="21"/>
      <c r="IL254" s="21"/>
      <c r="IM254" s="21"/>
      <c r="IN254" s="21"/>
      <c r="IO254" s="21"/>
      <c r="IP254" s="21"/>
      <c r="IQ254" s="21"/>
      <c r="IR254" s="21"/>
      <c r="IS254" s="21"/>
      <c r="IT254" s="21"/>
    </row>
    <row r="255" spans="1:254" s="3" customFormat="1" ht="27" customHeight="1">
      <c r="A255" s="11">
        <v>253</v>
      </c>
      <c r="B255" s="13" t="str">
        <f>"吴可盈"</f>
        <v>吴可盈</v>
      </c>
      <c r="C255" s="13" t="s">
        <v>13</v>
      </c>
      <c r="D255" s="13" t="str">
        <f>"230702103812"</f>
        <v>230702103812</v>
      </c>
      <c r="E255" s="18">
        <v>60.685</v>
      </c>
      <c r="F255" s="19" t="s">
        <v>10</v>
      </c>
      <c r="G255" s="19" t="s">
        <v>10</v>
      </c>
      <c r="H255" s="18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  <c r="EC255" s="20"/>
      <c r="ED255" s="20"/>
      <c r="EE255" s="20"/>
      <c r="EF255" s="20"/>
      <c r="EG255" s="20"/>
      <c r="EH255" s="20"/>
      <c r="EI255" s="20"/>
      <c r="EJ255" s="20"/>
      <c r="EK255" s="20"/>
      <c r="EL255" s="20"/>
      <c r="EM255" s="20"/>
      <c r="EN255" s="20"/>
      <c r="EO255" s="20"/>
      <c r="EP255" s="20"/>
      <c r="EQ255" s="20"/>
      <c r="ER255" s="20"/>
      <c r="ES255" s="20"/>
      <c r="ET255" s="20"/>
      <c r="EU255" s="20"/>
      <c r="EV255" s="20"/>
      <c r="EW255" s="20"/>
      <c r="EX255" s="20"/>
      <c r="EY255" s="20"/>
      <c r="EZ255" s="20"/>
      <c r="FA255" s="20"/>
      <c r="FB255" s="20"/>
      <c r="FC255" s="20"/>
      <c r="FD255" s="20"/>
      <c r="FE255" s="20"/>
      <c r="FF255" s="20"/>
      <c r="FG255" s="20"/>
      <c r="FH255" s="20"/>
      <c r="FI255" s="20"/>
      <c r="FJ255" s="20"/>
      <c r="FK255" s="20"/>
      <c r="FL255" s="20"/>
      <c r="FM255" s="20"/>
      <c r="FN255" s="20"/>
      <c r="FO255" s="20"/>
      <c r="FP255" s="20"/>
      <c r="FQ255" s="20"/>
      <c r="FR255" s="20"/>
      <c r="FS255" s="20"/>
      <c r="FT255" s="20"/>
      <c r="FU255" s="20"/>
      <c r="FV255" s="20"/>
      <c r="FW255" s="20"/>
      <c r="FX255" s="20"/>
      <c r="FY255" s="20"/>
      <c r="FZ255" s="20"/>
      <c r="GA255" s="20"/>
      <c r="GB255" s="20"/>
      <c r="GC255" s="20"/>
      <c r="GD255" s="20"/>
      <c r="GE255" s="20"/>
      <c r="GF255" s="20"/>
      <c r="GG255" s="20"/>
      <c r="GH255" s="20"/>
      <c r="GI255" s="20"/>
      <c r="GJ255" s="20"/>
      <c r="GK255" s="20"/>
      <c r="GL255" s="20"/>
      <c r="GM255" s="20"/>
      <c r="GN255" s="20"/>
      <c r="GO255" s="20"/>
      <c r="GP255" s="20"/>
      <c r="GQ255" s="20"/>
      <c r="GR255" s="20"/>
      <c r="GS255" s="20"/>
      <c r="GT255" s="21"/>
      <c r="GU255" s="21"/>
      <c r="GV255" s="21"/>
      <c r="GW255" s="21"/>
      <c r="GX255" s="21"/>
      <c r="GY255" s="21"/>
      <c r="GZ255" s="21"/>
      <c r="HA255" s="21"/>
      <c r="HB255" s="21"/>
      <c r="HC255" s="21"/>
      <c r="HD255" s="21"/>
      <c r="HE255" s="21"/>
      <c r="HF255" s="21"/>
      <c r="HG255" s="21"/>
      <c r="HH255" s="21"/>
      <c r="HI255" s="21"/>
      <c r="HJ255" s="21"/>
      <c r="HK255" s="21"/>
      <c r="HL255" s="21"/>
      <c r="HM255" s="21"/>
      <c r="HN255" s="21"/>
      <c r="HO255" s="21"/>
      <c r="HP255" s="21"/>
      <c r="HQ255" s="21"/>
      <c r="HR255" s="21"/>
      <c r="HS255" s="21"/>
      <c r="HT255" s="21"/>
      <c r="HU255" s="21"/>
      <c r="HV255" s="21"/>
      <c r="HW255" s="21"/>
      <c r="HX255" s="21"/>
      <c r="HY255" s="21"/>
      <c r="HZ255" s="21"/>
      <c r="IA255" s="21"/>
      <c r="IB255" s="21"/>
      <c r="IC255" s="21"/>
      <c r="ID255" s="21"/>
      <c r="IE255" s="21"/>
      <c r="IF255" s="21"/>
      <c r="IG255" s="21"/>
      <c r="IH255" s="21"/>
      <c r="II255" s="21"/>
      <c r="IJ255" s="21"/>
      <c r="IK255" s="21"/>
      <c r="IL255" s="21"/>
      <c r="IM255" s="21"/>
      <c r="IN255" s="21"/>
      <c r="IO255" s="21"/>
      <c r="IP255" s="21"/>
      <c r="IQ255" s="21"/>
      <c r="IR255" s="21"/>
      <c r="IS255" s="21"/>
      <c r="IT255" s="21"/>
    </row>
    <row r="256" spans="1:254" s="3" customFormat="1" ht="27" customHeight="1">
      <c r="A256" s="11">
        <v>254</v>
      </c>
      <c r="B256" s="13" t="str">
        <f>"陈雅婷"</f>
        <v>陈雅婷</v>
      </c>
      <c r="C256" s="13" t="s">
        <v>13</v>
      </c>
      <c r="D256" s="13" t="str">
        <f>"230702105204"</f>
        <v>230702105204</v>
      </c>
      <c r="E256" s="18">
        <v>60.65</v>
      </c>
      <c r="F256" s="19" t="s">
        <v>10</v>
      </c>
      <c r="G256" s="19" t="s">
        <v>10</v>
      </c>
      <c r="H256" s="18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  <c r="GD256" s="20"/>
      <c r="GE256" s="20"/>
      <c r="GF256" s="20"/>
      <c r="GG256" s="20"/>
      <c r="GH256" s="20"/>
      <c r="GI256" s="20"/>
      <c r="GJ256" s="20"/>
      <c r="GK256" s="20"/>
      <c r="GL256" s="20"/>
      <c r="GM256" s="20"/>
      <c r="GN256" s="20"/>
      <c r="GO256" s="20"/>
      <c r="GP256" s="20"/>
      <c r="GQ256" s="20"/>
      <c r="GR256" s="20"/>
      <c r="GS256" s="20"/>
      <c r="GT256" s="21"/>
      <c r="GU256" s="21"/>
      <c r="GV256" s="21"/>
      <c r="GW256" s="21"/>
      <c r="GX256" s="21"/>
      <c r="GY256" s="21"/>
      <c r="GZ256" s="21"/>
      <c r="HA256" s="21"/>
      <c r="HB256" s="21"/>
      <c r="HC256" s="21"/>
      <c r="HD256" s="21"/>
      <c r="HE256" s="21"/>
      <c r="HF256" s="21"/>
      <c r="HG256" s="21"/>
      <c r="HH256" s="21"/>
      <c r="HI256" s="21"/>
      <c r="HJ256" s="21"/>
      <c r="HK256" s="21"/>
      <c r="HL256" s="21"/>
      <c r="HM256" s="21"/>
      <c r="HN256" s="21"/>
      <c r="HO256" s="21"/>
      <c r="HP256" s="21"/>
      <c r="HQ256" s="21"/>
      <c r="HR256" s="21"/>
      <c r="HS256" s="21"/>
      <c r="HT256" s="21"/>
      <c r="HU256" s="21"/>
      <c r="HV256" s="21"/>
      <c r="HW256" s="21"/>
      <c r="HX256" s="21"/>
      <c r="HY256" s="21"/>
      <c r="HZ256" s="21"/>
      <c r="IA256" s="21"/>
      <c r="IB256" s="21"/>
      <c r="IC256" s="21"/>
      <c r="ID256" s="21"/>
      <c r="IE256" s="21"/>
      <c r="IF256" s="21"/>
      <c r="IG256" s="21"/>
      <c r="IH256" s="21"/>
      <c r="II256" s="21"/>
      <c r="IJ256" s="21"/>
      <c r="IK256" s="21"/>
      <c r="IL256" s="21"/>
      <c r="IM256" s="21"/>
      <c r="IN256" s="21"/>
      <c r="IO256" s="21"/>
      <c r="IP256" s="21"/>
      <c r="IQ256" s="21"/>
      <c r="IR256" s="21"/>
      <c r="IS256" s="21"/>
      <c r="IT256" s="21"/>
    </row>
    <row r="257" spans="1:254" s="3" customFormat="1" ht="27" customHeight="1">
      <c r="A257" s="11">
        <v>255</v>
      </c>
      <c r="B257" s="13" t="str">
        <f>"赵仪"</f>
        <v>赵仪</v>
      </c>
      <c r="C257" s="13" t="s">
        <v>13</v>
      </c>
      <c r="D257" s="13" t="str">
        <f>"230702104104"</f>
        <v>230702104104</v>
      </c>
      <c r="E257" s="18">
        <v>60.635</v>
      </c>
      <c r="F257" s="19" t="s">
        <v>10</v>
      </c>
      <c r="G257" s="19" t="s">
        <v>10</v>
      </c>
      <c r="H257" s="18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  <c r="DP257" s="20"/>
      <c r="DQ257" s="20"/>
      <c r="DR257" s="20"/>
      <c r="DS257" s="20"/>
      <c r="DT257" s="20"/>
      <c r="DU257" s="20"/>
      <c r="DV257" s="20"/>
      <c r="DW257" s="20"/>
      <c r="DX257" s="20"/>
      <c r="DY257" s="20"/>
      <c r="DZ257" s="20"/>
      <c r="EA257" s="20"/>
      <c r="EB257" s="20"/>
      <c r="EC257" s="20"/>
      <c r="ED257" s="20"/>
      <c r="EE257" s="20"/>
      <c r="EF257" s="20"/>
      <c r="EG257" s="20"/>
      <c r="EH257" s="20"/>
      <c r="EI257" s="20"/>
      <c r="EJ257" s="20"/>
      <c r="EK257" s="20"/>
      <c r="EL257" s="20"/>
      <c r="EM257" s="20"/>
      <c r="EN257" s="20"/>
      <c r="EO257" s="20"/>
      <c r="EP257" s="20"/>
      <c r="EQ257" s="20"/>
      <c r="ER257" s="20"/>
      <c r="ES257" s="20"/>
      <c r="ET257" s="20"/>
      <c r="EU257" s="20"/>
      <c r="EV257" s="20"/>
      <c r="EW257" s="20"/>
      <c r="EX257" s="20"/>
      <c r="EY257" s="20"/>
      <c r="EZ257" s="20"/>
      <c r="FA257" s="20"/>
      <c r="FB257" s="20"/>
      <c r="FC257" s="20"/>
      <c r="FD257" s="20"/>
      <c r="FE257" s="20"/>
      <c r="FF257" s="20"/>
      <c r="FG257" s="20"/>
      <c r="FH257" s="20"/>
      <c r="FI257" s="20"/>
      <c r="FJ257" s="20"/>
      <c r="FK257" s="20"/>
      <c r="FL257" s="20"/>
      <c r="FM257" s="20"/>
      <c r="FN257" s="20"/>
      <c r="FO257" s="20"/>
      <c r="FP257" s="20"/>
      <c r="FQ257" s="20"/>
      <c r="FR257" s="20"/>
      <c r="FS257" s="20"/>
      <c r="FT257" s="20"/>
      <c r="FU257" s="20"/>
      <c r="FV257" s="20"/>
      <c r="FW257" s="20"/>
      <c r="FX257" s="20"/>
      <c r="FY257" s="20"/>
      <c r="FZ257" s="20"/>
      <c r="GA257" s="20"/>
      <c r="GB257" s="20"/>
      <c r="GC257" s="20"/>
      <c r="GD257" s="20"/>
      <c r="GE257" s="20"/>
      <c r="GF257" s="20"/>
      <c r="GG257" s="20"/>
      <c r="GH257" s="20"/>
      <c r="GI257" s="20"/>
      <c r="GJ257" s="20"/>
      <c r="GK257" s="20"/>
      <c r="GL257" s="20"/>
      <c r="GM257" s="20"/>
      <c r="GN257" s="20"/>
      <c r="GO257" s="20"/>
      <c r="GP257" s="20"/>
      <c r="GQ257" s="20"/>
      <c r="GR257" s="20"/>
      <c r="GS257" s="20"/>
      <c r="GT257" s="21"/>
      <c r="GU257" s="21"/>
      <c r="GV257" s="21"/>
      <c r="GW257" s="21"/>
      <c r="GX257" s="21"/>
      <c r="GY257" s="21"/>
      <c r="GZ257" s="21"/>
      <c r="HA257" s="21"/>
      <c r="HB257" s="21"/>
      <c r="HC257" s="21"/>
      <c r="HD257" s="21"/>
      <c r="HE257" s="21"/>
      <c r="HF257" s="21"/>
      <c r="HG257" s="21"/>
      <c r="HH257" s="21"/>
      <c r="HI257" s="21"/>
      <c r="HJ257" s="21"/>
      <c r="HK257" s="21"/>
      <c r="HL257" s="21"/>
      <c r="HM257" s="21"/>
      <c r="HN257" s="21"/>
      <c r="HO257" s="21"/>
      <c r="HP257" s="21"/>
      <c r="HQ257" s="21"/>
      <c r="HR257" s="21"/>
      <c r="HS257" s="21"/>
      <c r="HT257" s="21"/>
      <c r="HU257" s="21"/>
      <c r="HV257" s="21"/>
      <c r="HW257" s="21"/>
      <c r="HX257" s="21"/>
      <c r="HY257" s="21"/>
      <c r="HZ257" s="21"/>
      <c r="IA257" s="21"/>
      <c r="IB257" s="21"/>
      <c r="IC257" s="21"/>
      <c r="ID257" s="21"/>
      <c r="IE257" s="21"/>
      <c r="IF257" s="21"/>
      <c r="IG257" s="21"/>
      <c r="IH257" s="21"/>
      <c r="II257" s="21"/>
      <c r="IJ257" s="21"/>
      <c r="IK257" s="21"/>
      <c r="IL257" s="21"/>
      <c r="IM257" s="21"/>
      <c r="IN257" s="21"/>
      <c r="IO257" s="21"/>
      <c r="IP257" s="21"/>
      <c r="IQ257" s="21"/>
      <c r="IR257" s="21"/>
      <c r="IS257" s="21"/>
      <c r="IT257" s="21"/>
    </row>
    <row r="258" spans="1:254" s="3" customFormat="1" ht="27" customHeight="1">
      <c r="A258" s="11">
        <v>256</v>
      </c>
      <c r="B258" s="13" t="str">
        <f>"王语"</f>
        <v>王语</v>
      </c>
      <c r="C258" s="13" t="s">
        <v>13</v>
      </c>
      <c r="D258" s="13" t="str">
        <f>"230702104227"</f>
        <v>230702104227</v>
      </c>
      <c r="E258" s="18">
        <v>60.585</v>
      </c>
      <c r="F258" s="19" t="s">
        <v>10</v>
      </c>
      <c r="G258" s="19" t="s">
        <v>10</v>
      </c>
      <c r="H258" s="18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  <c r="DP258" s="20"/>
      <c r="DQ258" s="20"/>
      <c r="DR258" s="20"/>
      <c r="DS258" s="20"/>
      <c r="DT258" s="20"/>
      <c r="DU258" s="20"/>
      <c r="DV258" s="20"/>
      <c r="DW258" s="20"/>
      <c r="DX258" s="20"/>
      <c r="DY258" s="20"/>
      <c r="DZ258" s="20"/>
      <c r="EA258" s="20"/>
      <c r="EB258" s="20"/>
      <c r="EC258" s="20"/>
      <c r="ED258" s="20"/>
      <c r="EE258" s="20"/>
      <c r="EF258" s="20"/>
      <c r="EG258" s="20"/>
      <c r="EH258" s="20"/>
      <c r="EI258" s="20"/>
      <c r="EJ258" s="20"/>
      <c r="EK258" s="20"/>
      <c r="EL258" s="20"/>
      <c r="EM258" s="20"/>
      <c r="EN258" s="20"/>
      <c r="EO258" s="20"/>
      <c r="EP258" s="20"/>
      <c r="EQ258" s="20"/>
      <c r="ER258" s="20"/>
      <c r="ES258" s="20"/>
      <c r="ET258" s="20"/>
      <c r="EU258" s="20"/>
      <c r="EV258" s="20"/>
      <c r="EW258" s="20"/>
      <c r="EX258" s="20"/>
      <c r="EY258" s="20"/>
      <c r="EZ258" s="20"/>
      <c r="FA258" s="20"/>
      <c r="FB258" s="20"/>
      <c r="FC258" s="20"/>
      <c r="FD258" s="20"/>
      <c r="FE258" s="20"/>
      <c r="FF258" s="20"/>
      <c r="FG258" s="20"/>
      <c r="FH258" s="20"/>
      <c r="FI258" s="20"/>
      <c r="FJ258" s="20"/>
      <c r="FK258" s="20"/>
      <c r="FL258" s="20"/>
      <c r="FM258" s="20"/>
      <c r="FN258" s="20"/>
      <c r="FO258" s="20"/>
      <c r="FP258" s="20"/>
      <c r="FQ258" s="20"/>
      <c r="FR258" s="20"/>
      <c r="FS258" s="20"/>
      <c r="FT258" s="20"/>
      <c r="FU258" s="20"/>
      <c r="FV258" s="20"/>
      <c r="FW258" s="20"/>
      <c r="FX258" s="20"/>
      <c r="FY258" s="20"/>
      <c r="FZ258" s="20"/>
      <c r="GA258" s="20"/>
      <c r="GB258" s="20"/>
      <c r="GC258" s="20"/>
      <c r="GD258" s="20"/>
      <c r="GE258" s="20"/>
      <c r="GF258" s="20"/>
      <c r="GG258" s="20"/>
      <c r="GH258" s="20"/>
      <c r="GI258" s="20"/>
      <c r="GJ258" s="20"/>
      <c r="GK258" s="20"/>
      <c r="GL258" s="20"/>
      <c r="GM258" s="20"/>
      <c r="GN258" s="20"/>
      <c r="GO258" s="20"/>
      <c r="GP258" s="20"/>
      <c r="GQ258" s="20"/>
      <c r="GR258" s="20"/>
      <c r="GS258" s="20"/>
      <c r="GT258" s="21"/>
      <c r="GU258" s="21"/>
      <c r="GV258" s="21"/>
      <c r="GW258" s="21"/>
      <c r="GX258" s="21"/>
      <c r="GY258" s="21"/>
      <c r="GZ258" s="21"/>
      <c r="HA258" s="21"/>
      <c r="HB258" s="21"/>
      <c r="HC258" s="21"/>
      <c r="HD258" s="21"/>
      <c r="HE258" s="21"/>
      <c r="HF258" s="21"/>
      <c r="HG258" s="21"/>
      <c r="HH258" s="21"/>
      <c r="HI258" s="21"/>
      <c r="HJ258" s="21"/>
      <c r="HK258" s="21"/>
      <c r="HL258" s="21"/>
      <c r="HM258" s="21"/>
      <c r="HN258" s="21"/>
      <c r="HO258" s="21"/>
      <c r="HP258" s="21"/>
      <c r="HQ258" s="21"/>
      <c r="HR258" s="21"/>
      <c r="HS258" s="21"/>
      <c r="HT258" s="21"/>
      <c r="HU258" s="21"/>
      <c r="HV258" s="21"/>
      <c r="HW258" s="21"/>
      <c r="HX258" s="21"/>
      <c r="HY258" s="21"/>
      <c r="HZ258" s="21"/>
      <c r="IA258" s="21"/>
      <c r="IB258" s="21"/>
      <c r="IC258" s="21"/>
      <c r="ID258" s="21"/>
      <c r="IE258" s="21"/>
      <c r="IF258" s="21"/>
      <c r="IG258" s="21"/>
      <c r="IH258" s="21"/>
      <c r="II258" s="21"/>
      <c r="IJ258" s="21"/>
      <c r="IK258" s="21"/>
      <c r="IL258" s="21"/>
      <c r="IM258" s="21"/>
      <c r="IN258" s="21"/>
      <c r="IO258" s="21"/>
      <c r="IP258" s="21"/>
      <c r="IQ258" s="21"/>
      <c r="IR258" s="21"/>
      <c r="IS258" s="21"/>
      <c r="IT258" s="21"/>
    </row>
    <row r="259" spans="1:254" s="3" customFormat="1" ht="27" customHeight="1">
      <c r="A259" s="11">
        <v>257</v>
      </c>
      <c r="B259" s="13" t="str">
        <f>"张喜"</f>
        <v>张喜</v>
      </c>
      <c r="C259" s="13" t="s">
        <v>13</v>
      </c>
      <c r="D259" s="13" t="str">
        <f>"230702103717"</f>
        <v>230702103717</v>
      </c>
      <c r="E259" s="18">
        <v>60.485</v>
      </c>
      <c r="F259" s="19" t="s">
        <v>10</v>
      </c>
      <c r="G259" s="19" t="s">
        <v>10</v>
      </c>
      <c r="H259" s="18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  <c r="DV259" s="20"/>
      <c r="DW259" s="20"/>
      <c r="DX259" s="20"/>
      <c r="DY259" s="20"/>
      <c r="DZ259" s="20"/>
      <c r="EA259" s="20"/>
      <c r="EB259" s="20"/>
      <c r="EC259" s="20"/>
      <c r="ED259" s="20"/>
      <c r="EE259" s="20"/>
      <c r="EF259" s="20"/>
      <c r="EG259" s="20"/>
      <c r="EH259" s="20"/>
      <c r="EI259" s="20"/>
      <c r="EJ259" s="20"/>
      <c r="EK259" s="20"/>
      <c r="EL259" s="20"/>
      <c r="EM259" s="20"/>
      <c r="EN259" s="20"/>
      <c r="EO259" s="20"/>
      <c r="EP259" s="20"/>
      <c r="EQ259" s="20"/>
      <c r="ER259" s="20"/>
      <c r="ES259" s="20"/>
      <c r="ET259" s="20"/>
      <c r="EU259" s="20"/>
      <c r="EV259" s="20"/>
      <c r="EW259" s="20"/>
      <c r="EX259" s="20"/>
      <c r="EY259" s="20"/>
      <c r="EZ259" s="20"/>
      <c r="FA259" s="20"/>
      <c r="FB259" s="20"/>
      <c r="FC259" s="20"/>
      <c r="FD259" s="20"/>
      <c r="FE259" s="20"/>
      <c r="FF259" s="20"/>
      <c r="FG259" s="20"/>
      <c r="FH259" s="20"/>
      <c r="FI259" s="20"/>
      <c r="FJ259" s="20"/>
      <c r="FK259" s="20"/>
      <c r="FL259" s="20"/>
      <c r="FM259" s="20"/>
      <c r="FN259" s="20"/>
      <c r="FO259" s="20"/>
      <c r="FP259" s="20"/>
      <c r="FQ259" s="20"/>
      <c r="FR259" s="20"/>
      <c r="FS259" s="20"/>
      <c r="FT259" s="20"/>
      <c r="FU259" s="20"/>
      <c r="FV259" s="20"/>
      <c r="FW259" s="20"/>
      <c r="FX259" s="20"/>
      <c r="FY259" s="20"/>
      <c r="FZ259" s="20"/>
      <c r="GA259" s="20"/>
      <c r="GB259" s="20"/>
      <c r="GC259" s="20"/>
      <c r="GD259" s="20"/>
      <c r="GE259" s="20"/>
      <c r="GF259" s="20"/>
      <c r="GG259" s="20"/>
      <c r="GH259" s="20"/>
      <c r="GI259" s="20"/>
      <c r="GJ259" s="20"/>
      <c r="GK259" s="20"/>
      <c r="GL259" s="20"/>
      <c r="GM259" s="20"/>
      <c r="GN259" s="20"/>
      <c r="GO259" s="20"/>
      <c r="GP259" s="20"/>
      <c r="GQ259" s="20"/>
      <c r="GR259" s="20"/>
      <c r="GS259" s="20"/>
      <c r="GT259" s="21"/>
      <c r="GU259" s="21"/>
      <c r="GV259" s="21"/>
      <c r="GW259" s="21"/>
      <c r="GX259" s="21"/>
      <c r="GY259" s="21"/>
      <c r="GZ259" s="21"/>
      <c r="HA259" s="21"/>
      <c r="HB259" s="21"/>
      <c r="HC259" s="21"/>
      <c r="HD259" s="21"/>
      <c r="HE259" s="21"/>
      <c r="HF259" s="21"/>
      <c r="HG259" s="21"/>
      <c r="HH259" s="21"/>
      <c r="HI259" s="21"/>
      <c r="HJ259" s="21"/>
      <c r="HK259" s="21"/>
      <c r="HL259" s="21"/>
      <c r="HM259" s="21"/>
      <c r="HN259" s="21"/>
      <c r="HO259" s="21"/>
      <c r="HP259" s="21"/>
      <c r="HQ259" s="21"/>
      <c r="HR259" s="21"/>
      <c r="HS259" s="21"/>
      <c r="HT259" s="21"/>
      <c r="HU259" s="21"/>
      <c r="HV259" s="21"/>
      <c r="HW259" s="21"/>
      <c r="HX259" s="21"/>
      <c r="HY259" s="21"/>
      <c r="HZ259" s="21"/>
      <c r="IA259" s="21"/>
      <c r="IB259" s="21"/>
      <c r="IC259" s="21"/>
      <c r="ID259" s="21"/>
      <c r="IE259" s="21"/>
      <c r="IF259" s="21"/>
      <c r="IG259" s="21"/>
      <c r="IH259" s="21"/>
      <c r="II259" s="21"/>
      <c r="IJ259" s="21"/>
      <c r="IK259" s="21"/>
      <c r="IL259" s="21"/>
      <c r="IM259" s="21"/>
      <c r="IN259" s="21"/>
      <c r="IO259" s="21"/>
      <c r="IP259" s="21"/>
      <c r="IQ259" s="21"/>
      <c r="IR259" s="21"/>
      <c r="IS259" s="21"/>
      <c r="IT259" s="21"/>
    </row>
    <row r="260" spans="1:254" s="3" customFormat="1" ht="27" customHeight="1">
      <c r="A260" s="11">
        <v>258</v>
      </c>
      <c r="B260" s="13" t="str">
        <f>"邢芳芳"</f>
        <v>邢芳芳</v>
      </c>
      <c r="C260" s="13" t="s">
        <v>13</v>
      </c>
      <c r="D260" s="13" t="str">
        <f>"230702104814"</f>
        <v>230702104814</v>
      </c>
      <c r="E260" s="18">
        <v>60.485</v>
      </c>
      <c r="F260" s="19" t="s">
        <v>10</v>
      </c>
      <c r="G260" s="19" t="s">
        <v>10</v>
      </c>
      <c r="H260" s="18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  <c r="DV260" s="20"/>
      <c r="DW260" s="20"/>
      <c r="DX260" s="20"/>
      <c r="DY260" s="20"/>
      <c r="DZ260" s="20"/>
      <c r="EA260" s="20"/>
      <c r="EB260" s="20"/>
      <c r="EC260" s="20"/>
      <c r="ED260" s="20"/>
      <c r="EE260" s="20"/>
      <c r="EF260" s="20"/>
      <c r="EG260" s="20"/>
      <c r="EH260" s="20"/>
      <c r="EI260" s="20"/>
      <c r="EJ260" s="20"/>
      <c r="EK260" s="20"/>
      <c r="EL260" s="20"/>
      <c r="EM260" s="20"/>
      <c r="EN260" s="20"/>
      <c r="EO260" s="20"/>
      <c r="EP260" s="20"/>
      <c r="EQ260" s="20"/>
      <c r="ER260" s="20"/>
      <c r="ES260" s="20"/>
      <c r="ET260" s="20"/>
      <c r="EU260" s="20"/>
      <c r="EV260" s="20"/>
      <c r="EW260" s="20"/>
      <c r="EX260" s="20"/>
      <c r="EY260" s="20"/>
      <c r="EZ260" s="20"/>
      <c r="FA260" s="20"/>
      <c r="FB260" s="20"/>
      <c r="FC260" s="20"/>
      <c r="FD260" s="20"/>
      <c r="FE260" s="20"/>
      <c r="FF260" s="20"/>
      <c r="FG260" s="20"/>
      <c r="FH260" s="20"/>
      <c r="FI260" s="20"/>
      <c r="FJ260" s="20"/>
      <c r="FK260" s="20"/>
      <c r="FL260" s="20"/>
      <c r="FM260" s="20"/>
      <c r="FN260" s="20"/>
      <c r="FO260" s="20"/>
      <c r="FP260" s="20"/>
      <c r="FQ260" s="20"/>
      <c r="FR260" s="20"/>
      <c r="FS260" s="20"/>
      <c r="FT260" s="20"/>
      <c r="FU260" s="20"/>
      <c r="FV260" s="20"/>
      <c r="FW260" s="20"/>
      <c r="FX260" s="20"/>
      <c r="FY260" s="20"/>
      <c r="FZ260" s="20"/>
      <c r="GA260" s="20"/>
      <c r="GB260" s="20"/>
      <c r="GC260" s="20"/>
      <c r="GD260" s="20"/>
      <c r="GE260" s="20"/>
      <c r="GF260" s="20"/>
      <c r="GG260" s="20"/>
      <c r="GH260" s="20"/>
      <c r="GI260" s="20"/>
      <c r="GJ260" s="20"/>
      <c r="GK260" s="20"/>
      <c r="GL260" s="20"/>
      <c r="GM260" s="20"/>
      <c r="GN260" s="20"/>
      <c r="GO260" s="20"/>
      <c r="GP260" s="20"/>
      <c r="GQ260" s="20"/>
      <c r="GR260" s="20"/>
      <c r="GS260" s="20"/>
      <c r="GT260" s="21"/>
      <c r="GU260" s="21"/>
      <c r="GV260" s="21"/>
      <c r="GW260" s="21"/>
      <c r="GX260" s="21"/>
      <c r="GY260" s="21"/>
      <c r="GZ260" s="21"/>
      <c r="HA260" s="21"/>
      <c r="HB260" s="21"/>
      <c r="HC260" s="21"/>
      <c r="HD260" s="21"/>
      <c r="HE260" s="21"/>
      <c r="HF260" s="21"/>
      <c r="HG260" s="21"/>
      <c r="HH260" s="21"/>
      <c r="HI260" s="21"/>
      <c r="HJ260" s="21"/>
      <c r="HK260" s="21"/>
      <c r="HL260" s="21"/>
      <c r="HM260" s="21"/>
      <c r="HN260" s="21"/>
      <c r="HO260" s="21"/>
      <c r="HP260" s="21"/>
      <c r="HQ260" s="21"/>
      <c r="HR260" s="21"/>
      <c r="HS260" s="21"/>
      <c r="HT260" s="21"/>
      <c r="HU260" s="21"/>
      <c r="HV260" s="21"/>
      <c r="HW260" s="21"/>
      <c r="HX260" s="21"/>
      <c r="HY260" s="21"/>
      <c r="HZ260" s="21"/>
      <c r="IA260" s="21"/>
      <c r="IB260" s="21"/>
      <c r="IC260" s="21"/>
      <c r="ID260" s="21"/>
      <c r="IE260" s="21"/>
      <c r="IF260" s="21"/>
      <c r="IG260" s="21"/>
      <c r="IH260" s="21"/>
      <c r="II260" s="21"/>
      <c r="IJ260" s="21"/>
      <c r="IK260" s="21"/>
      <c r="IL260" s="21"/>
      <c r="IM260" s="21"/>
      <c r="IN260" s="21"/>
      <c r="IO260" s="21"/>
      <c r="IP260" s="21"/>
      <c r="IQ260" s="21"/>
      <c r="IR260" s="21"/>
      <c r="IS260" s="21"/>
      <c r="IT260" s="21"/>
    </row>
    <row r="261" spans="1:254" s="3" customFormat="1" ht="27" customHeight="1">
      <c r="A261" s="11">
        <v>259</v>
      </c>
      <c r="B261" s="13" t="str">
        <f>"曾阳"</f>
        <v>曾阳</v>
      </c>
      <c r="C261" s="13" t="s">
        <v>14</v>
      </c>
      <c r="D261" s="13" t="str">
        <f>"230702107609"</f>
        <v>230702107609</v>
      </c>
      <c r="E261" s="18">
        <v>75.4</v>
      </c>
      <c r="F261" s="19" t="s">
        <v>10</v>
      </c>
      <c r="G261" s="19" t="s">
        <v>10</v>
      </c>
      <c r="H261" s="18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  <c r="EK261" s="20"/>
      <c r="EL261" s="20"/>
      <c r="EM261" s="20"/>
      <c r="EN261" s="20"/>
      <c r="EO261" s="20"/>
      <c r="EP261" s="20"/>
      <c r="EQ261" s="20"/>
      <c r="ER261" s="20"/>
      <c r="ES261" s="20"/>
      <c r="ET261" s="20"/>
      <c r="EU261" s="20"/>
      <c r="EV261" s="20"/>
      <c r="EW261" s="20"/>
      <c r="EX261" s="20"/>
      <c r="EY261" s="20"/>
      <c r="EZ261" s="20"/>
      <c r="FA261" s="20"/>
      <c r="FB261" s="20"/>
      <c r="FC261" s="20"/>
      <c r="FD261" s="20"/>
      <c r="FE261" s="20"/>
      <c r="FF261" s="20"/>
      <c r="FG261" s="20"/>
      <c r="FH261" s="20"/>
      <c r="FI261" s="20"/>
      <c r="FJ261" s="20"/>
      <c r="FK261" s="20"/>
      <c r="FL261" s="20"/>
      <c r="FM261" s="20"/>
      <c r="FN261" s="20"/>
      <c r="FO261" s="20"/>
      <c r="FP261" s="20"/>
      <c r="FQ261" s="20"/>
      <c r="FR261" s="20"/>
      <c r="FS261" s="20"/>
      <c r="FT261" s="20"/>
      <c r="FU261" s="20"/>
      <c r="FV261" s="20"/>
      <c r="FW261" s="20"/>
      <c r="FX261" s="20"/>
      <c r="FY261" s="20"/>
      <c r="FZ261" s="20"/>
      <c r="GA261" s="20"/>
      <c r="GB261" s="20"/>
      <c r="GC261" s="20"/>
      <c r="GD261" s="20"/>
      <c r="GE261" s="20"/>
      <c r="GF261" s="20"/>
      <c r="GG261" s="20"/>
      <c r="GH261" s="20"/>
      <c r="GI261" s="20"/>
      <c r="GJ261" s="20"/>
      <c r="GK261" s="20"/>
      <c r="GL261" s="20"/>
      <c r="GM261" s="20"/>
      <c r="GN261" s="20"/>
      <c r="GO261" s="20"/>
      <c r="GP261" s="20"/>
      <c r="GQ261" s="20"/>
      <c r="GR261" s="20"/>
      <c r="GS261" s="20"/>
      <c r="GT261" s="21"/>
      <c r="GU261" s="21"/>
      <c r="GV261" s="21"/>
      <c r="GW261" s="21"/>
      <c r="GX261" s="21"/>
      <c r="GY261" s="21"/>
      <c r="GZ261" s="21"/>
      <c r="HA261" s="21"/>
      <c r="HB261" s="21"/>
      <c r="HC261" s="21"/>
      <c r="HD261" s="21"/>
      <c r="HE261" s="21"/>
      <c r="HF261" s="21"/>
      <c r="HG261" s="21"/>
      <c r="HH261" s="21"/>
      <c r="HI261" s="21"/>
      <c r="HJ261" s="21"/>
      <c r="HK261" s="21"/>
      <c r="HL261" s="21"/>
      <c r="HM261" s="21"/>
      <c r="HN261" s="21"/>
      <c r="HO261" s="21"/>
      <c r="HP261" s="21"/>
      <c r="HQ261" s="21"/>
      <c r="HR261" s="21"/>
      <c r="HS261" s="21"/>
      <c r="HT261" s="21"/>
      <c r="HU261" s="21"/>
      <c r="HV261" s="21"/>
      <c r="HW261" s="21"/>
      <c r="HX261" s="21"/>
      <c r="HY261" s="21"/>
      <c r="HZ261" s="21"/>
      <c r="IA261" s="21"/>
      <c r="IB261" s="21"/>
      <c r="IC261" s="21"/>
      <c r="ID261" s="21"/>
      <c r="IE261" s="21"/>
      <c r="IF261" s="21"/>
      <c r="IG261" s="21"/>
      <c r="IH261" s="21"/>
      <c r="II261" s="21"/>
      <c r="IJ261" s="21"/>
      <c r="IK261" s="21"/>
      <c r="IL261" s="21"/>
      <c r="IM261" s="21"/>
      <c r="IN261" s="21"/>
      <c r="IO261" s="21"/>
      <c r="IP261" s="21"/>
      <c r="IQ261" s="21"/>
      <c r="IR261" s="21"/>
      <c r="IS261" s="21"/>
      <c r="IT261" s="21"/>
    </row>
    <row r="262" spans="1:254" s="3" customFormat="1" ht="27" customHeight="1">
      <c r="A262" s="11">
        <v>260</v>
      </c>
      <c r="B262" s="13" t="str">
        <f>"陈文雄"</f>
        <v>陈文雄</v>
      </c>
      <c r="C262" s="13" t="s">
        <v>14</v>
      </c>
      <c r="D262" s="13" t="str">
        <f>"230702107710"</f>
        <v>230702107710</v>
      </c>
      <c r="E262" s="18">
        <v>74.55</v>
      </c>
      <c r="F262" s="19" t="s">
        <v>10</v>
      </c>
      <c r="G262" s="19" t="s">
        <v>10</v>
      </c>
      <c r="H262" s="18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  <c r="EA262" s="20"/>
      <c r="EB262" s="20"/>
      <c r="EC262" s="20"/>
      <c r="ED262" s="20"/>
      <c r="EE262" s="20"/>
      <c r="EF262" s="20"/>
      <c r="EG262" s="20"/>
      <c r="EH262" s="20"/>
      <c r="EI262" s="20"/>
      <c r="EJ262" s="20"/>
      <c r="EK262" s="20"/>
      <c r="EL262" s="20"/>
      <c r="EM262" s="20"/>
      <c r="EN262" s="20"/>
      <c r="EO262" s="20"/>
      <c r="EP262" s="20"/>
      <c r="EQ262" s="20"/>
      <c r="ER262" s="20"/>
      <c r="ES262" s="20"/>
      <c r="ET262" s="20"/>
      <c r="EU262" s="20"/>
      <c r="EV262" s="20"/>
      <c r="EW262" s="20"/>
      <c r="EX262" s="20"/>
      <c r="EY262" s="20"/>
      <c r="EZ262" s="20"/>
      <c r="FA262" s="20"/>
      <c r="FB262" s="20"/>
      <c r="FC262" s="20"/>
      <c r="FD262" s="20"/>
      <c r="FE262" s="20"/>
      <c r="FF262" s="20"/>
      <c r="FG262" s="20"/>
      <c r="FH262" s="20"/>
      <c r="FI262" s="20"/>
      <c r="FJ262" s="20"/>
      <c r="FK262" s="20"/>
      <c r="FL262" s="20"/>
      <c r="FM262" s="20"/>
      <c r="FN262" s="20"/>
      <c r="FO262" s="20"/>
      <c r="FP262" s="20"/>
      <c r="FQ262" s="20"/>
      <c r="FR262" s="20"/>
      <c r="FS262" s="20"/>
      <c r="FT262" s="20"/>
      <c r="FU262" s="20"/>
      <c r="FV262" s="20"/>
      <c r="FW262" s="20"/>
      <c r="FX262" s="20"/>
      <c r="FY262" s="20"/>
      <c r="FZ262" s="20"/>
      <c r="GA262" s="20"/>
      <c r="GB262" s="20"/>
      <c r="GC262" s="20"/>
      <c r="GD262" s="20"/>
      <c r="GE262" s="20"/>
      <c r="GF262" s="20"/>
      <c r="GG262" s="20"/>
      <c r="GH262" s="20"/>
      <c r="GI262" s="20"/>
      <c r="GJ262" s="20"/>
      <c r="GK262" s="20"/>
      <c r="GL262" s="20"/>
      <c r="GM262" s="20"/>
      <c r="GN262" s="20"/>
      <c r="GO262" s="20"/>
      <c r="GP262" s="20"/>
      <c r="GQ262" s="20"/>
      <c r="GR262" s="20"/>
      <c r="GS262" s="20"/>
      <c r="GT262" s="21"/>
      <c r="GU262" s="21"/>
      <c r="GV262" s="21"/>
      <c r="GW262" s="21"/>
      <c r="GX262" s="21"/>
      <c r="GY262" s="21"/>
      <c r="GZ262" s="21"/>
      <c r="HA262" s="21"/>
      <c r="HB262" s="21"/>
      <c r="HC262" s="21"/>
      <c r="HD262" s="21"/>
      <c r="HE262" s="21"/>
      <c r="HF262" s="21"/>
      <c r="HG262" s="21"/>
      <c r="HH262" s="21"/>
      <c r="HI262" s="21"/>
      <c r="HJ262" s="21"/>
      <c r="HK262" s="21"/>
      <c r="HL262" s="21"/>
      <c r="HM262" s="21"/>
      <c r="HN262" s="21"/>
      <c r="HO262" s="21"/>
      <c r="HP262" s="21"/>
      <c r="HQ262" s="21"/>
      <c r="HR262" s="21"/>
      <c r="HS262" s="21"/>
      <c r="HT262" s="21"/>
      <c r="HU262" s="21"/>
      <c r="HV262" s="21"/>
      <c r="HW262" s="21"/>
      <c r="HX262" s="21"/>
      <c r="HY262" s="21"/>
      <c r="HZ262" s="21"/>
      <c r="IA262" s="21"/>
      <c r="IB262" s="21"/>
      <c r="IC262" s="21"/>
      <c r="ID262" s="21"/>
      <c r="IE262" s="21"/>
      <c r="IF262" s="21"/>
      <c r="IG262" s="21"/>
      <c r="IH262" s="21"/>
      <c r="II262" s="21"/>
      <c r="IJ262" s="21"/>
      <c r="IK262" s="21"/>
      <c r="IL262" s="21"/>
      <c r="IM262" s="21"/>
      <c r="IN262" s="21"/>
      <c r="IO262" s="21"/>
      <c r="IP262" s="21"/>
      <c r="IQ262" s="21"/>
      <c r="IR262" s="21"/>
      <c r="IS262" s="21"/>
      <c r="IT262" s="21"/>
    </row>
    <row r="263" spans="1:254" s="3" customFormat="1" ht="27" customHeight="1">
      <c r="A263" s="11">
        <v>261</v>
      </c>
      <c r="B263" s="13" t="str">
        <f>"刘松侹"</f>
        <v>刘松侹</v>
      </c>
      <c r="C263" s="13" t="s">
        <v>14</v>
      </c>
      <c r="D263" s="13" t="str">
        <f>"230702106405"</f>
        <v>230702106405</v>
      </c>
      <c r="E263" s="18">
        <v>72.91499999999999</v>
      </c>
      <c r="F263" s="19" t="s">
        <v>10</v>
      </c>
      <c r="G263" s="19" t="s">
        <v>10</v>
      </c>
      <c r="H263" s="18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  <c r="EA263" s="20"/>
      <c r="EB263" s="20"/>
      <c r="EC263" s="20"/>
      <c r="ED263" s="20"/>
      <c r="EE263" s="20"/>
      <c r="EF263" s="20"/>
      <c r="EG263" s="20"/>
      <c r="EH263" s="20"/>
      <c r="EI263" s="20"/>
      <c r="EJ263" s="20"/>
      <c r="EK263" s="20"/>
      <c r="EL263" s="20"/>
      <c r="EM263" s="20"/>
      <c r="EN263" s="20"/>
      <c r="EO263" s="20"/>
      <c r="EP263" s="20"/>
      <c r="EQ263" s="20"/>
      <c r="ER263" s="20"/>
      <c r="ES263" s="20"/>
      <c r="ET263" s="20"/>
      <c r="EU263" s="20"/>
      <c r="EV263" s="20"/>
      <c r="EW263" s="20"/>
      <c r="EX263" s="20"/>
      <c r="EY263" s="20"/>
      <c r="EZ263" s="20"/>
      <c r="FA263" s="20"/>
      <c r="FB263" s="20"/>
      <c r="FC263" s="20"/>
      <c r="FD263" s="20"/>
      <c r="FE263" s="20"/>
      <c r="FF263" s="20"/>
      <c r="FG263" s="20"/>
      <c r="FH263" s="20"/>
      <c r="FI263" s="20"/>
      <c r="FJ263" s="20"/>
      <c r="FK263" s="20"/>
      <c r="FL263" s="20"/>
      <c r="FM263" s="20"/>
      <c r="FN263" s="20"/>
      <c r="FO263" s="20"/>
      <c r="FP263" s="20"/>
      <c r="FQ263" s="20"/>
      <c r="FR263" s="20"/>
      <c r="FS263" s="20"/>
      <c r="FT263" s="20"/>
      <c r="FU263" s="20"/>
      <c r="FV263" s="20"/>
      <c r="FW263" s="20"/>
      <c r="FX263" s="20"/>
      <c r="FY263" s="20"/>
      <c r="FZ263" s="20"/>
      <c r="GA263" s="20"/>
      <c r="GB263" s="20"/>
      <c r="GC263" s="20"/>
      <c r="GD263" s="20"/>
      <c r="GE263" s="20"/>
      <c r="GF263" s="20"/>
      <c r="GG263" s="20"/>
      <c r="GH263" s="20"/>
      <c r="GI263" s="20"/>
      <c r="GJ263" s="20"/>
      <c r="GK263" s="20"/>
      <c r="GL263" s="20"/>
      <c r="GM263" s="20"/>
      <c r="GN263" s="20"/>
      <c r="GO263" s="20"/>
      <c r="GP263" s="20"/>
      <c r="GQ263" s="20"/>
      <c r="GR263" s="20"/>
      <c r="GS263" s="20"/>
      <c r="GT263" s="21"/>
      <c r="GU263" s="21"/>
      <c r="GV263" s="21"/>
      <c r="GW263" s="21"/>
      <c r="GX263" s="21"/>
      <c r="GY263" s="21"/>
      <c r="GZ263" s="21"/>
      <c r="HA263" s="21"/>
      <c r="HB263" s="21"/>
      <c r="HC263" s="21"/>
      <c r="HD263" s="21"/>
      <c r="HE263" s="21"/>
      <c r="HF263" s="21"/>
      <c r="HG263" s="21"/>
      <c r="HH263" s="21"/>
      <c r="HI263" s="21"/>
      <c r="HJ263" s="21"/>
      <c r="HK263" s="21"/>
      <c r="HL263" s="21"/>
      <c r="HM263" s="21"/>
      <c r="HN263" s="21"/>
      <c r="HO263" s="21"/>
      <c r="HP263" s="21"/>
      <c r="HQ263" s="21"/>
      <c r="HR263" s="21"/>
      <c r="HS263" s="21"/>
      <c r="HT263" s="21"/>
      <c r="HU263" s="21"/>
      <c r="HV263" s="21"/>
      <c r="HW263" s="21"/>
      <c r="HX263" s="21"/>
      <c r="HY263" s="21"/>
      <c r="HZ263" s="21"/>
      <c r="IA263" s="21"/>
      <c r="IB263" s="21"/>
      <c r="IC263" s="21"/>
      <c r="ID263" s="21"/>
      <c r="IE263" s="21"/>
      <c r="IF263" s="21"/>
      <c r="IG263" s="21"/>
      <c r="IH263" s="21"/>
      <c r="II263" s="21"/>
      <c r="IJ263" s="21"/>
      <c r="IK263" s="21"/>
      <c r="IL263" s="21"/>
      <c r="IM263" s="21"/>
      <c r="IN263" s="21"/>
      <c r="IO263" s="21"/>
      <c r="IP263" s="21"/>
      <c r="IQ263" s="21"/>
      <c r="IR263" s="21"/>
      <c r="IS263" s="21"/>
      <c r="IT263" s="21"/>
    </row>
    <row r="264" spans="1:254" s="3" customFormat="1" ht="27" customHeight="1">
      <c r="A264" s="11">
        <v>262</v>
      </c>
      <c r="B264" s="13" t="str">
        <f>"周佳佳"</f>
        <v>周佳佳</v>
      </c>
      <c r="C264" s="13" t="s">
        <v>14</v>
      </c>
      <c r="D264" s="13" t="str">
        <f>"230702106906"</f>
        <v>230702106906</v>
      </c>
      <c r="E264" s="18">
        <v>72.735</v>
      </c>
      <c r="F264" s="19" t="s">
        <v>10</v>
      </c>
      <c r="G264" s="19" t="s">
        <v>10</v>
      </c>
      <c r="H264" s="18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  <c r="DR264" s="20"/>
      <c r="DS264" s="20"/>
      <c r="DT264" s="20"/>
      <c r="DU264" s="20"/>
      <c r="DV264" s="20"/>
      <c r="DW264" s="20"/>
      <c r="DX264" s="20"/>
      <c r="DY264" s="20"/>
      <c r="DZ264" s="20"/>
      <c r="EA264" s="20"/>
      <c r="EB264" s="20"/>
      <c r="EC264" s="20"/>
      <c r="ED264" s="20"/>
      <c r="EE264" s="20"/>
      <c r="EF264" s="20"/>
      <c r="EG264" s="20"/>
      <c r="EH264" s="20"/>
      <c r="EI264" s="20"/>
      <c r="EJ264" s="20"/>
      <c r="EK264" s="20"/>
      <c r="EL264" s="20"/>
      <c r="EM264" s="20"/>
      <c r="EN264" s="20"/>
      <c r="EO264" s="20"/>
      <c r="EP264" s="20"/>
      <c r="EQ264" s="20"/>
      <c r="ER264" s="20"/>
      <c r="ES264" s="20"/>
      <c r="ET264" s="20"/>
      <c r="EU264" s="20"/>
      <c r="EV264" s="20"/>
      <c r="EW264" s="20"/>
      <c r="EX264" s="20"/>
      <c r="EY264" s="20"/>
      <c r="EZ264" s="20"/>
      <c r="FA264" s="20"/>
      <c r="FB264" s="20"/>
      <c r="FC264" s="20"/>
      <c r="FD264" s="20"/>
      <c r="FE264" s="20"/>
      <c r="FF264" s="20"/>
      <c r="FG264" s="20"/>
      <c r="FH264" s="20"/>
      <c r="FI264" s="20"/>
      <c r="FJ264" s="20"/>
      <c r="FK264" s="20"/>
      <c r="FL264" s="20"/>
      <c r="FM264" s="20"/>
      <c r="FN264" s="20"/>
      <c r="FO264" s="20"/>
      <c r="FP264" s="20"/>
      <c r="FQ264" s="20"/>
      <c r="FR264" s="20"/>
      <c r="FS264" s="20"/>
      <c r="FT264" s="20"/>
      <c r="FU264" s="20"/>
      <c r="FV264" s="20"/>
      <c r="FW264" s="20"/>
      <c r="FX264" s="20"/>
      <c r="FY264" s="20"/>
      <c r="FZ264" s="20"/>
      <c r="GA264" s="20"/>
      <c r="GB264" s="20"/>
      <c r="GC264" s="20"/>
      <c r="GD264" s="20"/>
      <c r="GE264" s="20"/>
      <c r="GF264" s="20"/>
      <c r="GG264" s="20"/>
      <c r="GH264" s="20"/>
      <c r="GI264" s="20"/>
      <c r="GJ264" s="20"/>
      <c r="GK264" s="20"/>
      <c r="GL264" s="20"/>
      <c r="GM264" s="20"/>
      <c r="GN264" s="20"/>
      <c r="GO264" s="20"/>
      <c r="GP264" s="20"/>
      <c r="GQ264" s="20"/>
      <c r="GR264" s="20"/>
      <c r="GS264" s="20"/>
      <c r="GT264" s="21"/>
      <c r="GU264" s="21"/>
      <c r="GV264" s="21"/>
      <c r="GW264" s="21"/>
      <c r="GX264" s="21"/>
      <c r="GY264" s="21"/>
      <c r="GZ264" s="21"/>
      <c r="HA264" s="21"/>
      <c r="HB264" s="21"/>
      <c r="HC264" s="21"/>
      <c r="HD264" s="21"/>
      <c r="HE264" s="21"/>
      <c r="HF264" s="21"/>
      <c r="HG264" s="21"/>
      <c r="HH264" s="21"/>
      <c r="HI264" s="21"/>
      <c r="HJ264" s="21"/>
      <c r="HK264" s="21"/>
      <c r="HL264" s="21"/>
      <c r="HM264" s="21"/>
      <c r="HN264" s="21"/>
      <c r="HO264" s="21"/>
      <c r="HP264" s="21"/>
      <c r="HQ264" s="21"/>
      <c r="HR264" s="21"/>
      <c r="HS264" s="21"/>
      <c r="HT264" s="21"/>
      <c r="HU264" s="21"/>
      <c r="HV264" s="21"/>
      <c r="HW264" s="21"/>
      <c r="HX264" s="21"/>
      <c r="HY264" s="21"/>
      <c r="HZ264" s="21"/>
      <c r="IA264" s="21"/>
      <c r="IB264" s="21"/>
      <c r="IC264" s="21"/>
      <c r="ID264" s="21"/>
      <c r="IE264" s="21"/>
      <c r="IF264" s="21"/>
      <c r="IG264" s="21"/>
      <c r="IH264" s="21"/>
      <c r="II264" s="21"/>
      <c r="IJ264" s="21"/>
      <c r="IK264" s="21"/>
      <c r="IL264" s="21"/>
      <c r="IM264" s="21"/>
      <c r="IN264" s="21"/>
      <c r="IO264" s="21"/>
      <c r="IP264" s="21"/>
      <c r="IQ264" s="21"/>
      <c r="IR264" s="21"/>
      <c r="IS264" s="21"/>
      <c r="IT264" s="21"/>
    </row>
    <row r="265" spans="1:254" s="3" customFormat="1" ht="27" customHeight="1">
      <c r="A265" s="11">
        <v>263</v>
      </c>
      <c r="B265" s="13" t="str">
        <f>"叶帆"</f>
        <v>叶帆</v>
      </c>
      <c r="C265" s="13" t="s">
        <v>15</v>
      </c>
      <c r="D265" s="13" t="str">
        <f>"230702110220"</f>
        <v>230702110220</v>
      </c>
      <c r="E265" s="18">
        <v>75.85</v>
      </c>
      <c r="F265" s="19" t="s">
        <v>10</v>
      </c>
      <c r="G265" s="19" t="s">
        <v>10</v>
      </c>
      <c r="H265" s="18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  <c r="DV265" s="20"/>
      <c r="DW265" s="20"/>
      <c r="DX265" s="20"/>
      <c r="DY265" s="20"/>
      <c r="DZ265" s="20"/>
      <c r="EA265" s="20"/>
      <c r="EB265" s="20"/>
      <c r="EC265" s="20"/>
      <c r="ED265" s="20"/>
      <c r="EE265" s="20"/>
      <c r="EF265" s="20"/>
      <c r="EG265" s="20"/>
      <c r="EH265" s="20"/>
      <c r="EI265" s="20"/>
      <c r="EJ265" s="20"/>
      <c r="EK265" s="20"/>
      <c r="EL265" s="20"/>
      <c r="EM265" s="20"/>
      <c r="EN265" s="20"/>
      <c r="EO265" s="20"/>
      <c r="EP265" s="20"/>
      <c r="EQ265" s="20"/>
      <c r="ER265" s="20"/>
      <c r="ES265" s="20"/>
      <c r="ET265" s="20"/>
      <c r="EU265" s="20"/>
      <c r="EV265" s="20"/>
      <c r="EW265" s="20"/>
      <c r="EX265" s="20"/>
      <c r="EY265" s="20"/>
      <c r="EZ265" s="20"/>
      <c r="FA265" s="20"/>
      <c r="FB265" s="20"/>
      <c r="FC265" s="20"/>
      <c r="FD265" s="20"/>
      <c r="FE265" s="20"/>
      <c r="FF265" s="20"/>
      <c r="FG265" s="20"/>
      <c r="FH265" s="20"/>
      <c r="FI265" s="20"/>
      <c r="FJ265" s="20"/>
      <c r="FK265" s="20"/>
      <c r="FL265" s="20"/>
      <c r="FM265" s="20"/>
      <c r="FN265" s="20"/>
      <c r="FO265" s="20"/>
      <c r="FP265" s="20"/>
      <c r="FQ265" s="20"/>
      <c r="FR265" s="20"/>
      <c r="FS265" s="20"/>
      <c r="FT265" s="20"/>
      <c r="FU265" s="20"/>
      <c r="FV265" s="20"/>
      <c r="FW265" s="20"/>
      <c r="FX265" s="20"/>
      <c r="FY265" s="20"/>
      <c r="FZ265" s="20"/>
      <c r="GA265" s="20"/>
      <c r="GB265" s="20"/>
      <c r="GC265" s="20"/>
      <c r="GD265" s="20"/>
      <c r="GE265" s="20"/>
      <c r="GF265" s="20"/>
      <c r="GG265" s="20"/>
      <c r="GH265" s="20"/>
      <c r="GI265" s="20"/>
      <c r="GJ265" s="20"/>
      <c r="GK265" s="20"/>
      <c r="GL265" s="20"/>
      <c r="GM265" s="20"/>
      <c r="GN265" s="20"/>
      <c r="GO265" s="20"/>
      <c r="GP265" s="20"/>
      <c r="GQ265" s="20"/>
      <c r="GR265" s="20"/>
      <c r="GS265" s="20"/>
      <c r="GT265" s="21"/>
      <c r="GU265" s="21"/>
      <c r="GV265" s="21"/>
      <c r="GW265" s="21"/>
      <c r="GX265" s="21"/>
      <c r="GY265" s="21"/>
      <c r="GZ265" s="21"/>
      <c r="HA265" s="21"/>
      <c r="HB265" s="21"/>
      <c r="HC265" s="21"/>
      <c r="HD265" s="21"/>
      <c r="HE265" s="21"/>
      <c r="HF265" s="21"/>
      <c r="HG265" s="21"/>
      <c r="HH265" s="21"/>
      <c r="HI265" s="21"/>
      <c r="HJ265" s="21"/>
      <c r="HK265" s="21"/>
      <c r="HL265" s="21"/>
      <c r="HM265" s="21"/>
      <c r="HN265" s="21"/>
      <c r="HO265" s="21"/>
      <c r="HP265" s="21"/>
      <c r="HQ265" s="21"/>
      <c r="HR265" s="21"/>
      <c r="HS265" s="21"/>
      <c r="HT265" s="21"/>
      <c r="HU265" s="21"/>
      <c r="HV265" s="21"/>
      <c r="HW265" s="21"/>
      <c r="HX265" s="21"/>
      <c r="HY265" s="21"/>
      <c r="HZ265" s="21"/>
      <c r="IA265" s="21"/>
      <c r="IB265" s="21"/>
      <c r="IC265" s="21"/>
      <c r="ID265" s="21"/>
      <c r="IE265" s="21"/>
      <c r="IF265" s="21"/>
      <c r="IG265" s="21"/>
      <c r="IH265" s="21"/>
      <c r="II265" s="21"/>
      <c r="IJ265" s="21"/>
      <c r="IK265" s="21"/>
      <c r="IL265" s="21"/>
      <c r="IM265" s="21"/>
      <c r="IN265" s="21"/>
      <c r="IO265" s="21"/>
      <c r="IP265" s="21"/>
      <c r="IQ265" s="21"/>
      <c r="IR265" s="21"/>
      <c r="IS265" s="21"/>
      <c r="IT265" s="21"/>
    </row>
    <row r="266" spans="1:254" s="3" customFormat="1" ht="27" customHeight="1">
      <c r="A266" s="11">
        <v>264</v>
      </c>
      <c r="B266" s="13" t="str">
        <f>"许玲梅"</f>
        <v>许玲梅</v>
      </c>
      <c r="C266" s="13" t="s">
        <v>15</v>
      </c>
      <c r="D266" s="13" t="str">
        <f>"230702110920"</f>
        <v>230702110920</v>
      </c>
      <c r="E266" s="18">
        <v>74.13499999999999</v>
      </c>
      <c r="F266" s="19" t="s">
        <v>10</v>
      </c>
      <c r="G266" s="19" t="s">
        <v>10</v>
      </c>
      <c r="H266" s="18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  <c r="DP266" s="20"/>
      <c r="DQ266" s="20"/>
      <c r="DR266" s="20"/>
      <c r="DS266" s="20"/>
      <c r="DT266" s="20"/>
      <c r="DU266" s="20"/>
      <c r="DV266" s="20"/>
      <c r="DW266" s="20"/>
      <c r="DX266" s="20"/>
      <c r="DY266" s="20"/>
      <c r="DZ266" s="20"/>
      <c r="EA266" s="20"/>
      <c r="EB266" s="20"/>
      <c r="EC266" s="20"/>
      <c r="ED266" s="20"/>
      <c r="EE266" s="20"/>
      <c r="EF266" s="20"/>
      <c r="EG266" s="20"/>
      <c r="EH266" s="20"/>
      <c r="EI266" s="20"/>
      <c r="EJ266" s="20"/>
      <c r="EK266" s="20"/>
      <c r="EL266" s="20"/>
      <c r="EM266" s="20"/>
      <c r="EN266" s="20"/>
      <c r="EO266" s="20"/>
      <c r="EP266" s="20"/>
      <c r="EQ266" s="20"/>
      <c r="ER266" s="20"/>
      <c r="ES266" s="20"/>
      <c r="ET266" s="20"/>
      <c r="EU266" s="20"/>
      <c r="EV266" s="20"/>
      <c r="EW266" s="20"/>
      <c r="EX266" s="20"/>
      <c r="EY266" s="20"/>
      <c r="EZ266" s="20"/>
      <c r="FA266" s="20"/>
      <c r="FB266" s="20"/>
      <c r="FC266" s="20"/>
      <c r="FD266" s="20"/>
      <c r="FE266" s="20"/>
      <c r="FF266" s="20"/>
      <c r="FG266" s="20"/>
      <c r="FH266" s="20"/>
      <c r="FI266" s="20"/>
      <c r="FJ266" s="20"/>
      <c r="FK266" s="20"/>
      <c r="FL266" s="20"/>
      <c r="FM266" s="20"/>
      <c r="FN266" s="20"/>
      <c r="FO266" s="20"/>
      <c r="FP266" s="20"/>
      <c r="FQ266" s="20"/>
      <c r="FR266" s="20"/>
      <c r="FS266" s="20"/>
      <c r="FT266" s="20"/>
      <c r="FU266" s="20"/>
      <c r="FV266" s="20"/>
      <c r="FW266" s="20"/>
      <c r="FX266" s="20"/>
      <c r="FY266" s="20"/>
      <c r="FZ266" s="20"/>
      <c r="GA266" s="20"/>
      <c r="GB266" s="20"/>
      <c r="GC266" s="20"/>
      <c r="GD266" s="20"/>
      <c r="GE266" s="20"/>
      <c r="GF266" s="20"/>
      <c r="GG266" s="20"/>
      <c r="GH266" s="20"/>
      <c r="GI266" s="20"/>
      <c r="GJ266" s="20"/>
      <c r="GK266" s="20"/>
      <c r="GL266" s="20"/>
      <c r="GM266" s="20"/>
      <c r="GN266" s="20"/>
      <c r="GO266" s="20"/>
      <c r="GP266" s="20"/>
      <c r="GQ266" s="20"/>
      <c r="GR266" s="20"/>
      <c r="GS266" s="20"/>
      <c r="GT266" s="21"/>
      <c r="GU266" s="21"/>
      <c r="GV266" s="21"/>
      <c r="GW266" s="21"/>
      <c r="GX266" s="21"/>
      <c r="GY266" s="21"/>
      <c r="GZ266" s="21"/>
      <c r="HA266" s="21"/>
      <c r="HB266" s="21"/>
      <c r="HC266" s="21"/>
      <c r="HD266" s="21"/>
      <c r="HE266" s="21"/>
      <c r="HF266" s="21"/>
      <c r="HG266" s="21"/>
      <c r="HH266" s="21"/>
      <c r="HI266" s="21"/>
      <c r="HJ266" s="21"/>
      <c r="HK266" s="21"/>
      <c r="HL266" s="21"/>
      <c r="HM266" s="21"/>
      <c r="HN266" s="21"/>
      <c r="HO266" s="21"/>
      <c r="HP266" s="21"/>
      <c r="HQ266" s="21"/>
      <c r="HR266" s="21"/>
      <c r="HS266" s="21"/>
      <c r="HT266" s="21"/>
      <c r="HU266" s="21"/>
      <c r="HV266" s="21"/>
      <c r="HW266" s="21"/>
      <c r="HX266" s="21"/>
      <c r="HY266" s="21"/>
      <c r="HZ266" s="21"/>
      <c r="IA266" s="21"/>
      <c r="IB266" s="21"/>
      <c r="IC266" s="21"/>
      <c r="ID266" s="21"/>
      <c r="IE266" s="21"/>
      <c r="IF266" s="21"/>
      <c r="IG266" s="21"/>
      <c r="IH266" s="21"/>
      <c r="II266" s="21"/>
      <c r="IJ266" s="21"/>
      <c r="IK266" s="21"/>
      <c r="IL266" s="21"/>
      <c r="IM266" s="21"/>
      <c r="IN266" s="21"/>
      <c r="IO266" s="21"/>
      <c r="IP266" s="21"/>
      <c r="IQ266" s="21"/>
      <c r="IR266" s="21"/>
      <c r="IS266" s="21"/>
      <c r="IT266" s="21"/>
    </row>
    <row r="267" spans="1:254" s="3" customFormat="1" ht="27" customHeight="1">
      <c r="A267" s="11">
        <v>265</v>
      </c>
      <c r="B267" s="13" t="str">
        <f>"唐甸邦"</f>
        <v>唐甸邦</v>
      </c>
      <c r="C267" s="13" t="s">
        <v>16</v>
      </c>
      <c r="D267" s="13" t="str">
        <f>"230702113422"</f>
        <v>230702113422</v>
      </c>
      <c r="E267" s="18">
        <v>71.86</v>
      </c>
      <c r="F267" s="19" t="s">
        <v>10</v>
      </c>
      <c r="G267" s="19" t="s">
        <v>10</v>
      </c>
      <c r="H267" s="18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  <c r="DP267" s="20"/>
      <c r="DQ267" s="20"/>
      <c r="DR267" s="20"/>
      <c r="DS267" s="20"/>
      <c r="DT267" s="20"/>
      <c r="DU267" s="20"/>
      <c r="DV267" s="20"/>
      <c r="DW267" s="20"/>
      <c r="DX267" s="20"/>
      <c r="DY267" s="20"/>
      <c r="DZ267" s="20"/>
      <c r="EA267" s="20"/>
      <c r="EB267" s="20"/>
      <c r="EC267" s="20"/>
      <c r="ED267" s="20"/>
      <c r="EE267" s="20"/>
      <c r="EF267" s="20"/>
      <c r="EG267" s="20"/>
      <c r="EH267" s="20"/>
      <c r="EI267" s="20"/>
      <c r="EJ267" s="20"/>
      <c r="EK267" s="20"/>
      <c r="EL267" s="20"/>
      <c r="EM267" s="20"/>
      <c r="EN267" s="20"/>
      <c r="EO267" s="20"/>
      <c r="EP267" s="20"/>
      <c r="EQ267" s="20"/>
      <c r="ER267" s="20"/>
      <c r="ES267" s="20"/>
      <c r="ET267" s="20"/>
      <c r="EU267" s="20"/>
      <c r="EV267" s="20"/>
      <c r="EW267" s="20"/>
      <c r="EX267" s="20"/>
      <c r="EY267" s="20"/>
      <c r="EZ267" s="20"/>
      <c r="FA267" s="20"/>
      <c r="FB267" s="20"/>
      <c r="FC267" s="20"/>
      <c r="FD267" s="20"/>
      <c r="FE267" s="20"/>
      <c r="FF267" s="20"/>
      <c r="FG267" s="20"/>
      <c r="FH267" s="20"/>
      <c r="FI267" s="20"/>
      <c r="FJ267" s="20"/>
      <c r="FK267" s="20"/>
      <c r="FL267" s="20"/>
      <c r="FM267" s="20"/>
      <c r="FN267" s="20"/>
      <c r="FO267" s="20"/>
      <c r="FP267" s="20"/>
      <c r="FQ267" s="20"/>
      <c r="FR267" s="20"/>
      <c r="FS267" s="20"/>
      <c r="FT267" s="20"/>
      <c r="FU267" s="20"/>
      <c r="FV267" s="20"/>
      <c r="FW267" s="20"/>
      <c r="FX267" s="20"/>
      <c r="FY267" s="20"/>
      <c r="FZ267" s="20"/>
      <c r="GA267" s="20"/>
      <c r="GB267" s="20"/>
      <c r="GC267" s="20"/>
      <c r="GD267" s="20"/>
      <c r="GE267" s="20"/>
      <c r="GF267" s="20"/>
      <c r="GG267" s="20"/>
      <c r="GH267" s="20"/>
      <c r="GI267" s="20"/>
      <c r="GJ267" s="20"/>
      <c r="GK267" s="20"/>
      <c r="GL267" s="20"/>
      <c r="GM267" s="20"/>
      <c r="GN267" s="20"/>
      <c r="GO267" s="20"/>
      <c r="GP267" s="20"/>
      <c r="GQ267" s="20"/>
      <c r="GR267" s="20"/>
      <c r="GS267" s="20"/>
      <c r="GT267" s="21"/>
      <c r="GU267" s="21"/>
      <c r="GV267" s="21"/>
      <c r="GW267" s="21"/>
      <c r="GX267" s="21"/>
      <c r="GY267" s="21"/>
      <c r="GZ267" s="21"/>
      <c r="HA267" s="21"/>
      <c r="HB267" s="21"/>
      <c r="HC267" s="21"/>
      <c r="HD267" s="21"/>
      <c r="HE267" s="21"/>
      <c r="HF267" s="21"/>
      <c r="HG267" s="21"/>
      <c r="HH267" s="21"/>
      <c r="HI267" s="21"/>
      <c r="HJ267" s="21"/>
      <c r="HK267" s="21"/>
      <c r="HL267" s="21"/>
      <c r="HM267" s="21"/>
      <c r="HN267" s="21"/>
      <c r="HO267" s="21"/>
      <c r="HP267" s="21"/>
      <c r="HQ267" s="21"/>
      <c r="HR267" s="21"/>
      <c r="HS267" s="21"/>
      <c r="HT267" s="21"/>
      <c r="HU267" s="21"/>
      <c r="HV267" s="21"/>
      <c r="HW267" s="21"/>
      <c r="HX267" s="21"/>
      <c r="HY267" s="21"/>
      <c r="HZ267" s="21"/>
      <c r="IA267" s="21"/>
      <c r="IB267" s="21"/>
      <c r="IC267" s="21"/>
      <c r="ID267" s="21"/>
      <c r="IE267" s="21"/>
      <c r="IF267" s="21"/>
      <c r="IG267" s="21"/>
      <c r="IH267" s="21"/>
      <c r="II267" s="21"/>
      <c r="IJ267" s="21"/>
      <c r="IK267" s="21"/>
      <c r="IL267" s="21"/>
      <c r="IM267" s="21"/>
      <c r="IN267" s="21"/>
      <c r="IO267" s="21"/>
      <c r="IP267" s="21"/>
      <c r="IQ267" s="21"/>
      <c r="IR267" s="21"/>
      <c r="IS267" s="21"/>
      <c r="IT267" s="21"/>
    </row>
    <row r="268" spans="1:254" s="3" customFormat="1" ht="27" customHeight="1">
      <c r="A268" s="11">
        <v>266</v>
      </c>
      <c r="B268" s="13" t="str">
        <f>"林道保"</f>
        <v>林道保</v>
      </c>
      <c r="C268" s="13" t="s">
        <v>16</v>
      </c>
      <c r="D268" s="13" t="str">
        <f>"230702113313"</f>
        <v>230702113313</v>
      </c>
      <c r="E268" s="18">
        <v>71.465</v>
      </c>
      <c r="F268" s="19" t="s">
        <v>10</v>
      </c>
      <c r="G268" s="19" t="s">
        <v>10</v>
      </c>
      <c r="H268" s="18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  <c r="DP268" s="20"/>
      <c r="DQ268" s="20"/>
      <c r="DR268" s="20"/>
      <c r="DS268" s="20"/>
      <c r="DT268" s="20"/>
      <c r="DU268" s="20"/>
      <c r="DV268" s="20"/>
      <c r="DW268" s="20"/>
      <c r="DX268" s="20"/>
      <c r="DY268" s="20"/>
      <c r="DZ268" s="20"/>
      <c r="EA268" s="20"/>
      <c r="EB268" s="20"/>
      <c r="EC268" s="20"/>
      <c r="ED268" s="20"/>
      <c r="EE268" s="20"/>
      <c r="EF268" s="20"/>
      <c r="EG268" s="20"/>
      <c r="EH268" s="20"/>
      <c r="EI268" s="20"/>
      <c r="EJ268" s="20"/>
      <c r="EK268" s="20"/>
      <c r="EL268" s="20"/>
      <c r="EM268" s="20"/>
      <c r="EN268" s="20"/>
      <c r="EO268" s="20"/>
      <c r="EP268" s="20"/>
      <c r="EQ268" s="20"/>
      <c r="ER268" s="20"/>
      <c r="ES268" s="20"/>
      <c r="ET268" s="20"/>
      <c r="EU268" s="20"/>
      <c r="EV268" s="20"/>
      <c r="EW268" s="20"/>
      <c r="EX268" s="20"/>
      <c r="EY268" s="20"/>
      <c r="EZ268" s="20"/>
      <c r="FA268" s="20"/>
      <c r="FB268" s="20"/>
      <c r="FC268" s="20"/>
      <c r="FD268" s="20"/>
      <c r="FE268" s="20"/>
      <c r="FF268" s="20"/>
      <c r="FG268" s="20"/>
      <c r="FH268" s="20"/>
      <c r="FI268" s="20"/>
      <c r="FJ268" s="20"/>
      <c r="FK268" s="20"/>
      <c r="FL268" s="20"/>
      <c r="FM268" s="20"/>
      <c r="FN268" s="20"/>
      <c r="FO268" s="20"/>
      <c r="FP268" s="20"/>
      <c r="FQ268" s="20"/>
      <c r="FR268" s="20"/>
      <c r="FS268" s="20"/>
      <c r="FT268" s="20"/>
      <c r="FU268" s="20"/>
      <c r="FV268" s="20"/>
      <c r="FW268" s="20"/>
      <c r="FX268" s="20"/>
      <c r="FY268" s="20"/>
      <c r="FZ268" s="20"/>
      <c r="GA268" s="20"/>
      <c r="GB268" s="20"/>
      <c r="GC268" s="20"/>
      <c r="GD268" s="20"/>
      <c r="GE268" s="20"/>
      <c r="GF268" s="20"/>
      <c r="GG268" s="20"/>
      <c r="GH268" s="20"/>
      <c r="GI268" s="20"/>
      <c r="GJ268" s="20"/>
      <c r="GK268" s="20"/>
      <c r="GL268" s="20"/>
      <c r="GM268" s="20"/>
      <c r="GN268" s="20"/>
      <c r="GO268" s="20"/>
      <c r="GP268" s="20"/>
      <c r="GQ268" s="20"/>
      <c r="GR268" s="20"/>
      <c r="GS268" s="20"/>
      <c r="GT268" s="21"/>
      <c r="GU268" s="21"/>
      <c r="GV268" s="21"/>
      <c r="GW268" s="21"/>
      <c r="GX268" s="21"/>
      <c r="GY268" s="21"/>
      <c r="GZ268" s="21"/>
      <c r="HA268" s="21"/>
      <c r="HB268" s="21"/>
      <c r="HC268" s="21"/>
      <c r="HD268" s="21"/>
      <c r="HE268" s="21"/>
      <c r="HF268" s="21"/>
      <c r="HG268" s="21"/>
      <c r="HH268" s="21"/>
      <c r="HI268" s="21"/>
      <c r="HJ268" s="21"/>
      <c r="HK268" s="21"/>
      <c r="HL268" s="21"/>
      <c r="HM268" s="21"/>
      <c r="HN268" s="21"/>
      <c r="HO268" s="21"/>
      <c r="HP268" s="21"/>
      <c r="HQ268" s="21"/>
      <c r="HR268" s="21"/>
      <c r="HS268" s="21"/>
      <c r="HT268" s="21"/>
      <c r="HU268" s="21"/>
      <c r="HV268" s="21"/>
      <c r="HW268" s="21"/>
      <c r="HX268" s="21"/>
      <c r="HY268" s="21"/>
      <c r="HZ268" s="21"/>
      <c r="IA268" s="21"/>
      <c r="IB268" s="21"/>
      <c r="IC268" s="21"/>
      <c r="ID268" s="21"/>
      <c r="IE268" s="21"/>
      <c r="IF268" s="21"/>
      <c r="IG268" s="21"/>
      <c r="IH268" s="21"/>
      <c r="II268" s="21"/>
      <c r="IJ268" s="21"/>
      <c r="IK268" s="21"/>
      <c r="IL268" s="21"/>
      <c r="IM268" s="21"/>
      <c r="IN268" s="21"/>
      <c r="IO268" s="21"/>
      <c r="IP268" s="21"/>
      <c r="IQ268" s="21"/>
      <c r="IR268" s="21"/>
      <c r="IS268" s="21"/>
      <c r="IT268" s="21"/>
    </row>
    <row r="269" spans="1:254" s="3" customFormat="1" ht="27" customHeight="1">
      <c r="A269" s="11">
        <v>267</v>
      </c>
      <c r="B269" s="13" t="str">
        <f>"赵海浩"</f>
        <v>赵海浩</v>
      </c>
      <c r="C269" s="13" t="s">
        <v>16</v>
      </c>
      <c r="D269" s="13" t="str">
        <f>"230702200112"</f>
        <v>230702200112</v>
      </c>
      <c r="E269" s="18">
        <v>71.285</v>
      </c>
      <c r="F269" s="19" t="s">
        <v>10</v>
      </c>
      <c r="G269" s="19" t="s">
        <v>10</v>
      </c>
      <c r="H269" s="18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  <c r="DP269" s="20"/>
      <c r="DQ269" s="20"/>
      <c r="DR269" s="20"/>
      <c r="DS269" s="20"/>
      <c r="DT269" s="20"/>
      <c r="DU269" s="20"/>
      <c r="DV269" s="20"/>
      <c r="DW269" s="20"/>
      <c r="DX269" s="20"/>
      <c r="DY269" s="20"/>
      <c r="DZ269" s="20"/>
      <c r="EA269" s="20"/>
      <c r="EB269" s="20"/>
      <c r="EC269" s="20"/>
      <c r="ED269" s="20"/>
      <c r="EE269" s="20"/>
      <c r="EF269" s="20"/>
      <c r="EG269" s="20"/>
      <c r="EH269" s="20"/>
      <c r="EI269" s="20"/>
      <c r="EJ269" s="20"/>
      <c r="EK269" s="20"/>
      <c r="EL269" s="20"/>
      <c r="EM269" s="20"/>
      <c r="EN269" s="20"/>
      <c r="EO269" s="20"/>
      <c r="EP269" s="20"/>
      <c r="EQ269" s="20"/>
      <c r="ER269" s="20"/>
      <c r="ES269" s="20"/>
      <c r="ET269" s="20"/>
      <c r="EU269" s="20"/>
      <c r="EV269" s="20"/>
      <c r="EW269" s="20"/>
      <c r="EX269" s="20"/>
      <c r="EY269" s="20"/>
      <c r="EZ269" s="20"/>
      <c r="FA269" s="20"/>
      <c r="FB269" s="20"/>
      <c r="FC269" s="20"/>
      <c r="FD269" s="20"/>
      <c r="FE269" s="20"/>
      <c r="FF269" s="20"/>
      <c r="FG269" s="20"/>
      <c r="FH269" s="20"/>
      <c r="FI269" s="20"/>
      <c r="FJ269" s="20"/>
      <c r="FK269" s="20"/>
      <c r="FL269" s="20"/>
      <c r="FM269" s="20"/>
      <c r="FN269" s="20"/>
      <c r="FO269" s="20"/>
      <c r="FP269" s="20"/>
      <c r="FQ269" s="20"/>
      <c r="FR269" s="20"/>
      <c r="FS269" s="20"/>
      <c r="FT269" s="20"/>
      <c r="FU269" s="20"/>
      <c r="FV269" s="20"/>
      <c r="FW269" s="20"/>
      <c r="FX269" s="20"/>
      <c r="FY269" s="20"/>
      <c r="FZ269" s="20"/>
      <c r="GA269" s="20"/>
      <c r="GB269" s="20"/>
      <c r="GC269" s="20"/>
      <c r="GD269" s="20"/>
      <c r="GE269" s="20"/>
      <c r="GF269" s="20"/>
      <c r="GG269" s="20"/>
      <c r="GH269" s="20"/>
      <c r="GI269" s="20"/>
      <c r="GJ269" s="20"/>
      <c r="GK269" s="20"/>
      <c r="GL269" s="20"/>
      <c r="GM269" s="20"/>
      <c r="GN269" s="20"/>
      <c r="GO269" s="20"/>
      <c r="GP269" s="20"/>
      <c r="GQ269" s="20"/>
      <c r="GR269" s="20"/>
      <c r="GS269" s="20"/>
      <c r="GT269" s="21"/>
      <c r="GU269" s="21"/>
      <c r="GV269" s="21"/>
      <c r="GW269" s="21"/>
      <c r="GX269" s="21"/>
      <c r="GY269" s="21"/>
      <c r="GZ269" s="21"/>
      <c r="HA269" s="21"/>
      <c r="HB269" s="21"/>
      <c r="HC269" s="21"/>
      <c r="HD269" s="21"/>
      <c r="HE269" s="21"/>
      <c r="HF269" s="21"/>
      <c r="HG269" s="21"/>
      <c r="HH269" s="21"/>
      <c r="HI269" s="21"/>
      <c r="HJ269" s="21"/>
      <c r="HK269" s="21"/>
      <c r="HL269" s="21"/>
      <c r="HM269" s="21"/>
      <c r="HN269" s="21"/>
      <c r="HO269" s="21"/>
      <c r="HP269" s="21"/>
      <c r="HQ269" s="21"/>
      <c r="HR269" s="21"/>
      <c r="HS269" s="21"/>
      <c r="HT269" s="21"/>
      <c r="HU269" s="21"/>
      <c r="HV269" s="21"/>
      <c r="HW269" s="21"/>
      <c r="HX269" s="21"/>
      <c r="HY269" s="21"/>
      <c r="HZ269" s="21"/>
      <c r="IA269" s="21"/>
      <c r="IB269" s="21"/>
      <c r="IC269" s="21"/>
      <c r="ID269" s="21"/>
      <c r="IE269" s="21"/>
      <c r="IF269" s="21"/>
      <c r="IG269" s="21"/>
      <c r="IH269" s="21"/>
      <c r="II269" s="21"/>
      <c r="IJ269" s="21"/>
      <c r="IK269" s="21"/>
      <c r="IL269" s="21"/>
      <c r="IM269" s="21"/>
      <c r="IN269" s="21"/>
      <c r="IO269" s="21"/>
      <c r="IP269" s="21"/>
      <c r="IQ269" s="21"/>
      <c r="IR269" s="21"/>
      <c r="IS269" s="21"/>
      <c r="IT269" s="21"/>
    </row>
    <row r="270" spans="1:254" s="3" customFormat="1" ht="27" customHeight="1">
      <c r="A270" s="11">
        <v>268</v>
      </c>
      <c r="B270" s="13" t="str">
        <f>"林声再"</f>
        <v>林声再</v>
      </c>
      <c r="C270" s="13" t="s">
        <v>16</v>
      </c>
      <c r="D270" s="13" t="str">
        <f>"230702112130"</f>
        <v>230702112130</v>
      </c>
      <c r="E270" s="18">
        <v>70.28</v>
      </c>
      <c r="F270" s="19" t="s">
        <v>10</v>
      </c>
      <c r="G270" s="19" t="s">
        <v>10</v>
      </c>
      <c r="H270" s="18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  <c r="DP270" s="20"/>
      <c r="DQ270" s="20"/>
      <c r="DR270" s="20"/>
      <c r="DS270" s="20"/>
      <c r="DT270" s="20"/>
      <c r="DU270" s="20"/>
      <c r="DV270" s="20"/>
      <c r="DW270" s="20"/>
      <c r="DX270" s="20"/>
      <c r="DY270" s="20"/>
      <c r="DZ270" s="20"/>
      <c r="EA270" s="20"/>
      <c r="EB270" s="20"/>
      <c r="EC270" s="20"/>
      <c r="ED270" s="20"/>
      <c r="EE270" s="20"/>
      <c r="EF270" s="20"/>
      <c r="EG270" s="20"/>
      <c r="EH270" s="20"/>
      <c r="EI270" s="20"/>
      <c r="EJ270" s="20"/>
      <c r="EK270" s="20"/>
      <c r="EL270" s="20"/>
      <c r="EM270" s="20"/>
      <c r="EN270" s="20"/>
      <c r="EO270" s="20"/>
      <c r="EP270" s="20"/>
      <c r="EQ270" s="20"/>
      <c r="ER270" s="20"/>
      <c r="ES270" s="20"/>
      <c r="ET270" s="20"/>
      <c r="EU270" s="20"/>
      <c r="EV270" s="20"/>
      <c r="EW270" s="20"/>
      <c r="EX270" s="20"/>
      <c r="EY270" s="20"/>
      <c r="EZ270" s="20"/>
      <c r="FA270" s="20"/>
      <c r="FB270" s="20"/>
      <c r="FC270" s="20"/>
      <c r="FD270" s="20"/>
      <c r="FE270" s="20"/>
      <c r="FF270" s="20"/>
      <c r="FG270" s="20"/>
      <c r="FH270" s="20"/>
      <c r="FI270" s="20"/>
      <c r="FJ270" s="20"/>
      <c r="FK270" s="20"/>
      <c r="FL270" s="20"/>
      <c r="FM270" s="20"/>
      <c r="FN270" s="20"/>
      <c r="FO270" s="20"/>
      <c r="FP270" s="20"/>
      <c r="FQ270" s="20"/>
      <c r="FR270" s="20"/>
      <c r="FS270" s="20"/>
      <c r="FT270" s="20"/>
      <c r="FU270" s="20"/>
      <c r="FV270" s="20"/>
      <c r="FW270" s="20"/>
      <c r="FX270" s="20"/>
      <c r="FY270" s="20"/>
      <c r="FZ270" s="20"/>
      <c r="GA270" s="20"/>
      <c r="GB270" s="20"/>
      <c r="GC270" s="20"/>
      <c r="GD270" s="20"/>
      <c r="GE270" s="20"/>
      <c r="GF270" s="20"/>
      <c r="GG270" s="20"/>
      <c r="GH270" s="20"/>
      <c r="GI270" s="20"/>
      <c r="GJ270" s="20"/>
      <c r="GK270" s="20"/>
      <c r="GL270" s="20"/>
      <c r="GM270" s="20"/>
      <c r="GN270" s="20"/>
      <c r="GO270" s="20"/>
      <c r="GP270" s="20"/>
      <c r="GQ270" s="20"/>
      <c r="GR270" s="20"/>
      <c r="GS270" s="20"/>
      <c r="GT270" s="21"/>
      <c r="GU270" s="21"/>
      <c r="GV270" s="21"/>
      <c r="GW270" s="21"/>
      <c r="GX270" s="21"/>
      <c r="GY270" s="21"/>
      <c r="GZ270" s="21"/>
      <c r="HA270" s="21"/>
      <c r="HB270" s="21"/>
      <c r="HC270" s="21"/>
      <c r="HD270" s="21"/>
      <c r="HE270" s="21"/>
      <c r="HF270" s="21"/>
      <c r="HG270" s="21"/>
      <c r="HH270" s="21"/>
      <c r="HI270" s="21"/>
      <c r="HJ270" s="21"/>
      <c r="HK270" s="21"/>
      <c r="HL270" s="21"/>
      <c r="HM270" s="21"/>
      <c r="HN270" s="21"/>
      <c r="HO270" s="21"/>
      <c r="HP270" s="21"/>
      <c r="HQ270" s="21"/>
      <c r="HR270" s="21"/>
      <c r="HS270" s="21"/>
      <c r="HT270" s="21"/>
      <c r="HU270" s="21"/>
      <c r="HV270" s="21"/>
      <c r="HW270" s="21"/>
      <c r="HX270" s="21"/>
      <c r="HY270" s="21"/>
      <c r="HZ270" s="21"/>
      <c r="IA270" s="21"/>
      <c r="IB270" s="21"/>
      <c r="IC270" s="21"/>
      <c r="ID270" s="21"/>
      <c r="IE270" s="21"/>
      <c r="IF270" s="21"/>
      <c r="IG270" s="21"/>
      <c r="IH270" s="21"/>
      <c r="II270" s="21"/>
      <c r="IJ270" s="21"/>
      <c r="IK270" s="21"/>
      <c r="IL270" s="21"/>
      <c r="IM270" s="21"/>
      <c r="IN270" s="21"/>
      <c r="IO270" s="21"/>
      <c r="IP270" s="21"/>
      <c r="IQ270" s="21"/>
      <c r="IR270" s="21"/>
      <c r="IS270" s="21"/>
      <c r="IT270" s="21"/>
    </row>
    <row r="271" spans="1:254" s="3" customFormat="1" ht="27" customHeight="1">
      <c r="A271" s="11">
        <v>269</v>
      </c>
      <c r="B271" s="13" t="str">
        <f>"何杰"</f>
        <v>何杰</v>
      </c>
      <c r="C271" s="13" t="s">
        <v>16</v>
      </c>
      <c r="D271" s="13" t="str">
        <f>"230702200506"</f>
        <v>230702200506</v>
      </c>
      <c r="E271" s="18">
        <v>70.2</v>
      </c>
      <c r="F271" s="19" t="s">
        <v>10</v>
      </c>
      <c r="G271" s="19" t="s">
        <v>10</v>
      </c>
      <c r="H271" s="18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  <c r="DP271" s="20"/>
      <c r="DQ271" s="20"/>
      <c r="DR271" s="20"/>
      <c r="DS271" s="20"/>
      <c r="DT271" s="20"/>
      <c r="DU271" s="20"/>
      <c r="DV271" s="20"/>
      <c r="DW271" s="20"/>
      <c r="DX271" s="20"/>
      <c r="DY271" s="20"/>
      <c r="DZ271" s="20"/>
      <c r="EA271" s="20"/>
      <c r="EB271" s="20"/>
      <c r="EC271" s="20"/>
      <c r="ED271" s="20"/>
      <c r="EE271" s="20"/>
      <c r="EF271" s="20"/>
      <c r="EG271" s="20"/>
      <c r="EH271" s="20"/>
      <c r="EI271" s="20"/>
      <c r="EJ271" s="20"/>
      <c r="EK271" s="20"/>
      <c r="EL271" s="20"/>
      <c r="EM271" s="20"/>
      <c r="EN271" s="20"/>
      <c r="EO271" s="20"/>
      <c r="EP271" s="20"/>
      <c r="EQ271" s="20"/>
      <c r="ER271" s="20"/>
      <c r="ES271" s="20"/>
      <c r="ET271" s="20"/>
      <c r="EU271" s="20"/>
      <c r="EV271" s="20"/>
      <c r="EW271" s="20"/>
      <c r="EX271" s="20"/>
      <c r="EY271" s="20"/>
      <c r="EZ271" s="20"/>
      <c r="FA271" s="20"/>
      <c r="FB271" s="20"/>
      <c r="FC271" s="20"/>
      <c r="FD271" s="20"/>
      <c r="FE271" s="20"/>
      <c r="FF271" s="20"/>
      <c r="FG271" s="20"/>
      <c r="FH271" s="20"/>
      <c r="FI271" s="20"/>
      <c r="FJ271" s="20"/>
      <c r="FK271" s="20"/>
      <c r="FL271" s="20"/>
      <c r="FM271" s="20"/>
      <c r="FN271" s="20"/>
      <c r="FO271" s="20"/>
      <c r="FP271" s="20"/>
      <c r="FQ271" s="20"/>
      <c r="FR271" s="20"/>
      <c r="FS271" s="20"/>
      <c r="FT271" s="20"/>
      <c r="FU271" s="20"/>
      <c r="FV271" s="20"/>
      <c r="FW271" s="20"/>
      <c r="FX271" s="20"/>
      <c r="FY271" s="20"/>
      <c r="FZ271" s="20"/>
      <c r="GA271" s="20"/>
      <c r="GB271" s="20"/>
      <c r="GC271" s="20"/>
      <c r="GD271" s="20"/>
      <c r="GE271" s="20"/>
      <c r="GF271" s="20"/>
      <c r="GG271" s="20"/>
      <c r="GH271" s="20"/>
      <c r="GI271" s="20"/>
      <c r="GJ271" s="20"/>
      <c r="GK271" s="20"/>
      <c r="GL271" s="20"/>
      <c r="GM271" s="20"/>
      <c r="GN271" s="20"/>
      <c r="GO271" s="20"/>
      <c r="GP271" s="20"/>
      <c r="GQ271" s="20"/>
      <c r="GR271" s="20"/>
      <c r="GS271" s="20"/>
      <c r="GT271" s="21"/>
      <c r="GU271" s="21"/>
      <c r="GV271" s="21"/>
      <c r="GW271" s="21"/>
      <c r="GX271" s="21"/>
      <c r="GY271" s="21"/>
      <c r="GZ271" s="21"/>
      <c r="HA271" s="21"/>
      <c r="HB271" s="21"/>
      <c r="HC271" s="21"/>
      <c r="HD271" s="21"/>
      <c r="HE271" s="21"/>
      <c r="HF271" s="21"/>
      <c r="HG271" s="21"/>
      <c r="HH271" s="21"/>
      <c r="HI271" s="21"/>
      <c r="HJ271" s="21"/>
      <c r="HK271" s="21"/>
      <c r="HL271" s="21"/>
      <c r="HM271" s="21"/>
      <c r="HN271" s="21"/>
      <c r="HO271" s="21"/>
      <c r="HP271" s="21"/>
      <c r="HQ271" s="21"/>
      <c r="HR271" s="21"/>
      <c r="HS271" s="21"/>
      <c r="HT271" s="21"/>
      <c r="HU271" s="21"/>
      <c r="HV271" s="21"/>
      <c r="HW271" s="21"/>
      <c r="HX271" s="21"/>
      <c r="HY271" s="21"/>
      <c r="HZ271" s="21"/>
      <c r="IA271" s="21"/>
      <c r="IB271" s="21"/>
      <c r="IC271" s="21"/>
      <c r="ID271" s="21"/>
      <c r="IE271" s="21"/>
      <c r="IF271" s="21"/>
      <c r="IG271" s="21"/>
      <c r="IH271" s="21"/>
      <c r="II271" s="21"/>
      <c r="IJ271" s="21"/>
      <c r="IK271" s="21"/>
      <c r="IL271" s="21"/>
      <c r="IM271" s="21"/>
      <c r="IN271" s="21"/>
      <c r="IO271" s="21"/>
      <c r="IP271" s="21"/>
      <c r="IQ271" s="21"/>
      <c r="IR271" s="21"/>
      <c r="IS271" s="21"/>
      <c r="IT271" s="21"/>
    </row>
    <row r="272" spans="1:254" s="3" customFormat="1" ht="27" customHeight="1">
      <c r="A272" s="11">
        <v>270</v>
      </c>
      <c r="B272" s="13" t="str">
        <f>"黄振华"</f>
        <v>黄振华</v>
      </c>
      <c r="C272" s="13" t="s">
        <v>16</v>
      </c>
      <c r="D272" s="13" t="str">
        <f>"230702113319"</f>
        <v>230702113319</v>
      </c>
      <c r="E272" s="18">
        <v>69.935</v>
      </c>
      <c r="F272" s="19" t="s">
        <v>10</v>
      </c>
      <c r="G272" s="19" t="s">
        <v>10</v>
      </c>
      <c r="H272" s="18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  <c r="DP272" s="20"/>
      <c r="DQ272" s="20"/>
      <c r="DR272" s="20"/>
      <c r="DS272" s="20"/>
      <c r="DT272" s="20"/>
      <c r="DU272" s="20"/>
      <c r="DV272" s="20"/>
      <c r="DW272" s="20"/>
      <c r="DX272" s="20"/>
      <c r="DY272" s="20"/>
      <c r="DZ272" s="20"/>
      <c r="EA272" s="20"/>
      <c r="EB272" s="20"/>
      <c r="EC272" s="20"/>
      <c r="ED272" s="20"/>
      <c r="EE272" s="20"/>
      <c r="EF272" s="20"/>
      <c r="EG272" s="20"/>
      <c r="EH272" s="20"/>
      <c r="EI272" s="20"/>
      <c r="EJ272" s="20"/>
      <c r="EK272" s="20"/>
      <c r="EL272" s="20"/>
      <c r="EM272" s="20"/>
      <c r="EN272" s="20"/>
      <c r="EO272" s="20"/>
      <c r="EP272" s="20"/>
      <c r="EQ272" s="20"/>
      <c r="ER272" s="20"/>
      <c r="ES272" s="20"/>
      <c r="ET272" s="20"/>
      <c r="EU272" s="20"/>
      <c r="EV272" s="20"/>
      <c r="EW272" s="20"/>
      <c r="EX272" s="20"/>
      <c r="EY272" s="20"/>
      <c r="EZ272" s="20"/>
      <c r="FA272" s="20"/>
      <c r="FB272" s="20"/>
      <c r="FC272" s="20"/>
      <c r="FD272" s="20"/>
      <c r="FE272" s="20"/>
      <c r="FF272" s="20"/>
      <c r="FG272" s="20"/>
      <c r="FH272" s="20"/>
      <c r="FI272" s="20"/>
      <c r="FJ272" s="20"/>
      <c r="FK272" s="20"/>
      <c r="FL272" s="20"/>
      <c r="FM272" s="20"/>
      <c r="FN272" s="20"/>
      <c r="FO272" s="20"/>
      <c r="FP272" s="20"/>
      <c r="FQ272" s="20"/>
      <c r="FR272" s="20"/>
      <c r="FS272" s="20"/>
      <c r="FT272" s="20"/>
      <c r="FU272" s="20"/>
      <c r="FV272" s="20"/>
      <c r="FW272" s="20"/>
      <c r="FX272" s="20"/>
      <c r="FY272" s="20"/>
      <c r="FZ272" s="20"/>
      <c r="GA272" s="20"/>
      <c r="GB272" s="20"/>
      <c r="GC272" s="20"/>
      <c r="GD272" s="20"/>
      <c r="GE272" s="20"/>
      <c r="GF272" s="20"/>
      <c r="GG272" s="20"/>
      <c r="GH272" s="20"/>
      <c r="GI272" s="20"/>
      <c r="GJ272" s="20"/>
      <c r="GK272" s="20"/>
      <c r="GL272" s="20"/>
      <c r="GM272" s="20"/>
      <c r="GN272" s="20"/>
      <c r="GO272" s="20"/>
      <c r="GP272" s="20"/>
      <c r="GQ272" s="20"/>
      <c r="GR272" s="20"/>
      <c r="GS272" s="20"/>
      <c r="GT272" s="21"/>
      <c r="GU272" s="21"/>
      <c r="GV272" s="21"/>
      <c r="GW272" s="21"/>
      <c r="GX272" s="21"/>
      <c r="GY272" s="21"/>
      <c r="GZ272" s="21"/>
      <c r="HA272" s="21"/>
      <c r="HB272" s="21"/>
      <c r="HC272" s="21"/>
      <c r="HD272" s="21"/>
      <c r="HE272" s="21"/>
      <c r="HF272" s="21"/>
      <c r="HG272" s="21"/>
      <c r="HH272" s="21"/>
      <c r="HI272" s="21"/>
      <c r="HJ272" s="21"/>
      <c r="HK272" s="21"/>
      <c r="HL272" s="21"/>
      <c r="HM272" s="21"/>
      <c r="HN272" s="21"/>
      <c r="HO272" s="21"/>
      <c r="HP272" s="21"/>
      <c r="HQ272" s="21"/>
      <c r="HR272" s="21"/>
      <c r="HS272" s="21"/>
      <c r="HT272" s="21"/>
      <c r="HU272" s="21"/>
      <c r="HV272" s="21"/>
      <c r="HW272" s="21"/>
      <c r="HX272" s="21"/>
      <c r="HY272" s="21"/>
      <c r="HZ272" s="21"/>
      <c r="IA272" s="21"/>
      <c r="IB272" s="21"/>
      <c r="IC272" s="21"/>
      <c r="ID272" s="21"/>
      <c r="IE272" s="21"/>
      <c r="IF272" s="21"/>
      <c r="IG272" s="21"/>
      <c r="IH272" s="21"/>
      <c r="II272" s="21"/>
      <c r="IJ272" s="21"/>
      <c r="IK272" s="21"/>
      <c r="IL272" s="21"/>
      <c r="IM272" s="21"/>
      <c r="IN272" s="21"/>
      <c r="IO272" s="21"/>
      <c r="IP272" s="21"/>
      <c r="IQ272" s="21"/>
      <c r="IR272" s="21"/>
      <c r="IS272" s="21"/>
      <c r="IT272" s="21"/>
    </row>
    <row r="273" spans="1:254" s="3" customFormat="1" ht="27" customHeight="1">
      <c r="A273" s="11">
        <v>271</v>
      </c>
      <c r="B273" s="13" t="str">
        <f>"曾维广"</f>
        <v>曾维广</v>
      </c>
      <c r="C273" s="13" t="s">
        <v>16</v>
      </c>
      <c r="D273" s="13" t="str">
        <f>"230702113013"</f>
        <v>230702113013</v>
      </c>
      <c r="E273" s="18">
        <v>69.6</v>
      </c>
      <c r="F273" s="19" t="s">
        <v>10</v>
      </c>
      <c r="G273" s="19" t="s">
        <v>10</v>
      </c>
      <c r="H273" s="18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  <c r="DP273" s="20"/>
      <c r="DQ273" s="20"/>
      <c r="DR273" s="20"/>
      <c r="DS273" s="20"/>
      <c r="DT273" s="20"/>
      <c r="DU273" s="20"/>
      <c r="DV273" s="20"/>
      <c r="DW273" s="20"/>
      <c r="DX273" s="20"/>
      <c r="DY273" s="20"/>
      <c r="DZ273" s="20"/>
      <c r="EA273" s="20"/>
      <c r="EB273" s="20"/>
      <c r="EC273" s="20"/>
      <c r="ED273" s="20"/>
      <c r="EE273" s="20"/>
      <c r="EF273" s="20"/>
      <c r="EG273" s="20"/>
      <c r="EH273" s="20"/>
      <c r="EI273" s="20"/>
      <c r="EJ273" s="20"/>
      <c r="EK273" s="20"/>
      <c r="EL273" s="20"/>
      <c r="EM273" s="20"/>
      <c r="EN273" s="20"/>
      <c r="EO273" s="20"/>
      <c r="EP273" s="20"/>
      <c r="EQ273" s="20"/>
      <c r="ER273" s="20"/>
      <c r="ES273" s="20"/>
      <c r="ET273" s="20"/>
      <c r="EU273" s="20"/>
      <c r="EV273" s="20"/>
      <c r="EW273" s="20"/>
      <c r="EX273" s="20"/>
      <c r="EY273" s="20"/>
      <c r="EZ273" s="20"/>
      <c r="FA273" s="20"/>
      <c r="FB273" s="20"/>
      <c r="FC273" s="20"/>
      <c r="FD273" s="20"/>
      <c r="FE273" s="20"/>
      <c r="FF273" s="20"/>
      <c r="FG273" s="20"/>
      <c r="FH273" s="20"/>
      <c r="FI273" s="20"/>
      <c r="FJ273" s="20"/>
      <c r="FK273" s="20"/>
      <c r="FL273" s="20"/>
      <c r="FM273" s="20"/>
      <c r="FN273" s="20"/>
      <c r="FO273" s="20"/>
      <c r="FP273" s="20"/>
      <c r="FQ273" s="20"/>
      <c r="FR273" s="20"/>
      <c r="FS273" s="20"/>
      <c r="FT273" s="20"/>
      <c r="FU273" s="20"/>
      <c r="FV273" s="20"/>
      <c r="FW273" s="20"/>
      <c r="FX273" s="20"/>
      <c r="FY273" s="20"/>
      <c r="FZ273" s="20"/>
      <c r="GA273" s="20"/>
      <c r="GB273" s="20"/>
      <c r="GC273" s="20"/>
      <c r="GD273" s="20"/>
      <c r="GE273" s="20"/>
      <c r="GF273" s="20"/>
      <c r="GG273" s="20"/>
      <c r="GH273" s="20"/>
      <c r="GI273" s="20"/>
      <c r="GJ273" s="20"/>
      <c r="GK273" s="20"/>
      <c r="GL273" s="20"/>
      <c r="GM273" s="20"/>
      <c r="GN273" s="20"/>
      <c r="GO273" s="20"/>
      <c r="GP273" s="20"/>
      <c r="GQ273" s="20"/>
      <c r="GR273" s="20"/>
      <c r="GS273" s="20"/>
      <c r="GT273" s="21"/>
      <c r="GU273" s="21"/>
      <c r="GV273" s="21"/>
      <c r="GW273" s="21"/>
      <c r="GX273" s="21"/>
      <c r="GY273" s="21"/>
      <c r="GZ273" s="21"/>
      <c r="HA273" s="21"/>
      <c r="HB273" s="21"/>
      <c r="HC273" s="21"/>
      <c r="HD273" s="21"/>
      <c r="HE273" s="21"/>
      <c r="HF273" s="21"/>
      <c r="HG273" s="21"/>
      <c r="HH273" s="21"/>
      <c r="HI273" s="21"/>
      <c r="HJ273" s="21"/>
      <c r="HK273" s="21"/>
      <c r="HL273" s="21"/>
      <c r="HM273" s="21"/>
      <c r="HN273" s="21"/>
      <c r="HO273" s="21"/>
      <c r="HP273" s="21"/>
      <c r="HQ273" s="21"/>
      <c r="HR273" s="21"/>
      <c r="HS273" s="21"/>
      <c r="HT273" s="21"/>
      <c r="HU273" s="21"/>
      <c r="HV273" s="21"/>
      <c r="HW273" s="21"/>
      <c r="HX273" s="21"/>
      <c r="HY273" s="21"/>
      <c r="HZ273" s="21"/>
      <c r="IA273" s="21"/>
      <c r="IB273" s="21"/>
      <c r="IC273" s="21"/>
      <c r="ID273" s="21"/>
      <c r="IE273" s="21"/>
      <c r="IF273" s="21"/>
      <c r="IG273" s="21"/>
      <c r="IH273" s="21"/>
      <c r="II273" s="21"/>
      <c r="IJ273" s="21"/>
      <c r="IK273" s="21"/>
      <c r="IL273" s="21"/>
      <c r="IM273" s="21"/>
      <c r="IN273" s="21"/>
      <c r="IO273" s="21"/>
      <c r="IP273" s="21"/>
      <c r="IQ273" s="21"/>
      <c r="IR273" s="21"/>
      <c r="IS273" s="21"/>
      <c r="IT273" s="21"/>
    </row>
    <row r="274" spans="1:254" s="3" customFormat="1" ht="27" customHeight="1">
      <c r="A274" s="11">
        <v>272</v>
      </c>
      <c r="B274" s="13" t="str">
        <f>"李俊文"</f>
        <v>李俊文</v>
      </c>
      <c r="C274" s="13" t="s">
        <v>16</v>
      </c>
      <c r="D274" s="13" t="str">
        <f>"230702113318"</f>
        <v>230702113318</v>
      </c>
      <c r="E274" s="18">
        <v>68.92</v>
      </c>
      <c r="F274" s="19" t="s">
        <v>10</v>
      </c>
      <c r="G274" s="19" t="s">
        <v>10</v>
      </c>
      <c r="H274" s="18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  <c r="EK274" s="20"/>
      <c r="EL274" s="20"/>
      <c r="EM274" s="20"/>
      <c r="EN274" s="20"/>
      <c r="EO274" s="20"/>
      <c r="EP274" s="20"/>
      <c r="EQ274" s="20"/>
      <c r="ER274" s="20"/>
      <c r="ES274" s="20"/>
      <c r="ET274" s="20"/>
      <c r="EU274" s="20"/>
      <c r="EV274" s="20"/>
      <c r="EW274" s="20"/>
      <c r="EX274" s="20"/>
      <c r="EY274" s="20"/>
      <c r="EZ274" s="20"/>
      <c r="FA274" s="20"/>
      <c r="FB274" s="20"/>
      <c r="FC274" s="20"/>
      <c r="FD274" s="20"/>
      <c r="FE274" s="20"/>
      <c r="FF274" s="20"/>
      <c r="FG274" s="20"/>
      <c r="FH274" s="20"/>
      <c r="FI274" s="20"/>
      <c r="FJ274" s="20"/>
      <c r="FK274" s="20"/>
      <c r="FL274" s="20"/>
      <c r="FM274" s="20"/>
      <c r="FN274" s="20"/>
      <c r="FO274" s="20"/>
      <c r="FP274" s="20"/>
      <c r="FQ274" s="20"/>
      <c r="FR274" s="20"/>
      <c r="FS274" s="20"/>
      <c r="FT274" s="20"/>
      <c r="FU274" s="20"/>
      <c r="FV274" s="20"/>
      <c r="FW274" s="20"/>
      <c r="FX274" s="20"/>
      <c r="FY274" s="20"/>
      <c r="FZ274" s="20"/>
      <c r="GA274" s="20"/>
      <c r="GB274" s="20"/>
      <c r="GC274" s="20"/>
      <c r="GD274" s="20"/>
      <c r="GE274" s="20"/>
      <c r="GF274" s="20"/>
      <c r="GG274" s="20"/>
      <c r="GH274" s="20"/>
      <c r="GI274" s="20"/>
      <c r="GJ274" s="20"/>
      <c r="GK274" s="20"/>
      <c r="GL274" s="20"/>
      <c r="GM274" s="20"/>
      <c r="GN274" s="20"/>
      <c r="GO274" s="20"/>
      <c r="GP274" s="20"/>
      <c r="GQ274" s="20"/>
      <c r="GR274" s="20"/>
      <c r="GS274" s="20"/>
      <c r="GT274" s="21"/>
      <c r="GU274" s="21"/>
      <c r="GV274" s="21"/>
      <c r="GW274" s="21"/>
      <c r="GX274" s="21"/>
      <c r="GY274" s="21"/>
      <c r="GZ274" s="21"/>
      <c r="HA274" s="21"/>
      <c r="HB274" s="21"/>
      <c r="HC274" s="21"/>
      <c r="HD274" s="21"/>
      <c r="HE274" s="21"/>
      <c r="HF274" s="21"/>
      <c r="HG274" s="21"/>
      <c r="HH274" s="21"/>
      <c r="HI274" s="21"/>
      <c r="HJ274" s="21"/>
      <c r="HK274" s="21"/>
      <c r="HL274" s="21"/>
      <c r="HM274" s="21"/>
      <c r="HN274" s="21"/>
      <c r="HO274" s="21"/>
      <c r="HP274" s="21"/>
      <c r="HQ274" s="21"/>
      <c r="HR274" s="21"/>
      <c r="HS274" s="21"/>
      <c r="HT274" s="21"/>
      <c r="HU274" s="21"/>
      <c r="HV274" s="21"/>
      <c r="HW274" s="21"/>
      <c r="HX274" s="21"/>
      <c r="HY274" s="21"/>
      <c r="HZ274" s="21"/>
      <c r="IA274" s="21"/>
      <c r="IB274" s="21"/>
      <c r="IC274" s="21"/>
      <c r="ID274" s="21"/>
      <c r="IE274" s="21"/>
      <c r="IF274" s="21"/>
      <c r="IG274" s="21"/>
      <c r="IH274" s="21"/>
      <c r="II274" s="21"/>
      <c r="IJ274" s="21"/>
      <c r="IK274" s="21"/>
      <c r="IL274" s="21"/>
      <c r="IM274" s="21"/>
      <c r="IN274" s="21"/>
      <c r="IO274" s="21"/>
      <c r="IP274" s="21"/>
      <c r="IQ274" s="21"/>
      <c r="IR274" s="21"/>
      <c r="IS274" s="21"/>
      <c r="IT274" s="21"/>
    </row>
    <row r="275" spans="1:254" s="3" customFormat="1" ht="27" customHeight="1">
      <c r="A275" s="11">
        <v>273</v>
      </c>
      <c r="B275" s="13" t="str">
        <f>"陈益键"</f>
        <v>陈益键</v>
      </c>
      <c r="C275" s="13" t="s">
        <v>16</v>
      </c>
      <c r="D275" s="13" t="str">
        <f>"230702113219"</f>
        <v>230702113219</v>
      </c>
      <c r="E275" s="18">
        <v>68.275</v>
      </c>
      <c r="F275" s="19" t="s">
        <v>10</v>
      </c>
      <c r="G275" s="19" t="s">
        <v>10</v>
      </c>
      <c r="H275" s="18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  <c r="CZ275" s="20"/>
      <c r="DA275" s="20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  <c r="DP275" s="20"/>
      <c r="DQ275" s="20"/>
      <c r="DR275" s="20"/>
      <c r="DS275" s="20"/>
      <c r="DT275" s="20"/>
      <c r="DU275" s="20"/>
      <c r="DV275" s="20"/>
      <c r="DW275" s="20"/>
      <c r="DX275" s="20"/>
      <c r="DY275" s="20"/>
      <c r="DZ275" s="20"/>
      <c r="EA275" s="20"/>
      <c r="EB275" s="20"/>
      <c r="EC275" s="20"/>
      <c r="ED275" s="20"/>
      <c r="EE275" s="20"/>
      <c r="EF275" s="20"/>
      <c r="EG275" s="20"/>
      <c r="EH275" s="20"/>
      <c r="EI275" s="20"/>
      <c r="EJ275" s="20"/>
      <c r="EK275" s="20"/>
      <c r="EL275" s="20"/>
      <c r="EM275" s="20"/>
      <c r="EN275" s="20"/>
      <c r="EO275" s="20"/>
      <c r="EP275" s="20"/>
      <c r="EQ275" s="20"/>
      <c r="ER275" s="20"/>
      <c r="ES275" s="20"/>
      <c r="ET275" s="20"/>
      <c r="EU275" s="20"/>
      <c r="EV275" s="20"/>
      <c r="EW275" s="20"/>
      <c r="EX275" s="20"/>
      <c r="EY275" s="20"/>
      <c r="EZ275" s="20"/>
      <c r="FA275" s="20"/>
      <c r="FB275" s="20"/>
      <c r="FC275" s="20"/>
      <c r="FD275" s="20"/>
      <c r="FE275" s="20"/>
      <c r="FF275" s="20"/>
      <c r="FG275" s="20"/>
      <c r="FH275" s="20"/>
      <c r="FI275" s="20"/>
      <c r="FJ275" s="20"/>
      <c r="FK275" s="20"/>
      <c r="FL275" s="20"/>
      <c r="FM275" s="20"/>
      <c r="FN275" s="20"/>
      <c r="FO275" s="20"/>
      <c r="FP275" s="20"/>
      <c r="FQ275" s="20"/>
      <c r="FR275" s="20"/>
      <c r="FS275" s="20"/>
      <c r="FT275" s="20"/>
      <c r="FU275" s="20"/>
      <c r="FV275" s="20"/>
      <c r="FW275" s="20"/>
      <c r="FX275" s="20"/>
      <c r="FY275" s="20"/>
      <c r="FZ275" s="20"/>
      <c r="GA275" s="20"/>
      <c r="GB275" s="20"/>
      <c r="GC275" s="20"/>
      <c r="GD275" s="20"/>
      <c r="GE275" s="20"/>
      <c r="GF275" s="20"/>
      <c r="GG275" s="20"/>
      <c r="GH275" s="20"/>
      <c r="GI275" s="20"/>
      <c r="GJ275" s="20"/>
      <c r="GK275" s="20"/>
      <c r="GL275" s="20"/>
      <c r="GM275" s="20"/>
      <c r="GN275" s="20"/>
      <c r="GO275" s="20"/>
      <c r="GP275" s="20"/>
      <c r="GQ275" s="20"/>
      <c r="GR275" s="20"/>
      <c r="GS275" s="20"/>
      <c r="GT275" s="21"/>
      <c r="GU275" s="21"/>
      <c r="GV275" s="21"/>
      <c r="GW275" s="21"/>
      <c r="GX275" s="21"/>
      <c r="GY275" s="21"/>
      <c r="GZ275" s="21"/>
      <c r="HA275" s="21"/>
      <c r="HB275" s="21"/>
      <c r="HC275" s="21"/>
      <c r="HD275" s="21"/>
      <c r="HE275" s="21"/>
      <c r="HF275" s="21"/>
      <c r="HG275" s="21"/>
      <c r="HH275" s="21"/>
      <c r="HI275" s="21"/>
      <c r="HJ275" s="21"/>
      <c r="HK275" s="21"/>
      <c r="HL275" s="21"/>
      <c r="HM275" s="21"/>
      <c r="HN275" s="21"/>
      <c r="HO275" s="21"/>
      <c r="HP275" s="21"/>
      <c r="HQ275" s="21"/>
      <c r="HR275" s="21"/>
      <c r="HS275" s="21"/>
      <c r="HT275" s="21"/>
      <c r="HU275" s="21"/>
      <c r="HV275" s="21"/>
      <c r="HW275" s="21"/>
      <c r="HX275" s="21"/>
      <c r="HY275" s="21"/>
      <c r="HZ275" s="21"/>
      <c r="IA275" s="21"/>
      <c r="IB275" s="21"/>
      <c r="IC275" s="21"/>
      <c r="ID275" s="21"/>
      <c r="IE275" s="21"/>
      <c r="IF275" s="21"/>
      <c r="IG275" s="21"/>
      <c r="IH275" s="21"/>
      <c r="II275" s="21"/>
      <c r="IJ275" s="21"/>
      <c r="IK275" s="21"/>
      <c r="IL275" s="21"/>
      <c r="IM275" s="21"/>
      <c r="IN275" s="21"/>
      <c r="IO275" s="21"/>
      <c r="IP275" s="21"/>
      <c r="IQ275" s="21"/>
      <c r="IR275" s="21"/>
      <c r="IS275" s="21"/>
      <c r="IT275" s="21"/>
    </row>
    <row r="276" spans="1:254" s="3" customFormat="1" ht="27" customHeight="1">
      <c r="A276" s="11">
        <v>274</v>
      </c>
      <c r="B276" s="13" t="str">
        <f>"王立威"</f>
        <v>王立威</v>
      </c>
      <c r="C276" s="13" t="s">
        <v>16</v>
      </c>
      <c r="D276" s="13" t="str">
        <f>"230702112203"</f>
        <v>230702112203</v>
      </c>
      <c r="E276" s="18">
        <v>68.185</v>
      </c>
      <c r="F276" s="19" t="s">
        <v>10</v>
      </c>
      <c r="G276" s="19" t="s">
        <v>10</v>
      </c>
      <c r="H276" s="18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  <c r="DP276" s="20"/>
      <c r="DQ276" s="20"/>
      <c r="DR276" s="20"/>
      <c r="DS276" s="20"/>
      <c r="DT276" s="20"/>
      <c r="DU276" s="20"/>
      <c r="DV276" s="20"/>
      <c r="DW276" s="20"/>
      <c r="DX276" s="20"/>
      <c r="DY276" s="20"/>
      <c r="DZ276" s="20"/>
      <c r="EA276" s="20"/>
      <c r="EB276" s="20"/>
      <c r="EC276" s="20"/>
      <c r="ED276" s="20"/>
      <c r="EE276" s="20"/>
      <c r="EF276" s="20"/>
      <c r="EG276" s="20"/>
      <c r="EH276" s="20"/>
      <c r="EI276" s="20"/>
      <c r="EJ276" s="20"/>
      <c r="EK276" s="20"/>
      <c r="EL276" s="20"/>
      <c r="EM276" s="20"/>
      <c r="EN276" s="20"/>
      <c r="EO276" s="20"/>
      <c r="EP276" s="20"/>
      <c r="EQ276" s="20"/>
      <c r="ER276" s="20"/>
      <c r="ES276" s="20"/>
      <c r="ET276" s="20"/>
      <c r="EU276" s="20"/>
      <c r="EV276" s="20"/>
      <c r="EW276" s="20"/>
      <c r="EX276" s="20"/>
      <c r="EY276" s="20"/>
      <c r="EZ276" s="20"/>
      <c r="FA276" s="20"/>
      <c r="FB276" s="20"/>
      <c r="FC276" s="20"/>
      <c r="FD276" s="20"/>
      <c r="FE276" s="20"/>
      <c r="FF276" s="20"/>
      <c r="FG276" s="20"/>
      <c r="FH276" s="20"/>
      <c r="FI276" s="20"/>
      <c r="FJ276" s="20"/>
      <c r="FK276" s="20"/>
      <c r="FL276" s="20"/>
      <c r="FM276" s="20"/>
      <c r="FN276" s="20"/>
      <c r="FO276" s="20"/>
      <c r="FP276" s="20"/>
      <c r="FQ276" s="20"/>
      <c r="FR276" s="20"/>
      <c r="FS276" s="20"/>
      <c r="FT276" s="20"/>
      <c r="FU276" s="20"/>
      <c r="FV276" s="20"/>
      <c r="FW276" s="20"/>
      <c r="FX276" s="20"/>
      <c r="FY276" s="20"/>
      <c r="FZ276" s="20"/>
      <c r="GA276" s="20"/>
      <c r="GB276" s="20"/>
      <c r="GC276" s="20"/>
      <c r="GD276" s="20"/>
      <c r="GE276" s="20"/>
      <c r="GF276" s="20"/>
      <c r="GG276" s="20"/>
      <c r="GH276" s="20"/>
      <c r="GI276" s="20"/>
      <c r="GJ276" s="20"/>
      <c r="GK276" s="20"/>
      <c r="GL276" s="20"/>
      <c r="GM276" s="20"/>
      <c r="GN276" s="20"/>
      <c r="GO276" s="20"/>
      <c r="GP276" s="20"/>
      <c r="GQ276" s="20"/>
      <c r="GR276" s="20"/>
      <c r="GS276" s="20"/>
      <c r="GT276" s="21"/>
      <c r="GU276" s="21"/>
      <c r="GV276" s="21"/>
      <c r="GW276" s="21"/>
      <c r="GX276" s="21"/>
      <c r="GY276" s="21"/>
      <c r="GZ276" s="21"/>
      <c r="HA276" s="21"/>
      <c r="HB276" s="21"/>
      <c r="HC276" s="21"/>
      <c r="HD276" s="21"/>
      <c r="HE276" s="21"/>
      <c r="HF276" s="21"/>
      <c r="HG276" s="21"/>
      <c r="HH276" s="21"/>
      <c r="HI276" s="21"/>
      <c r="HJ276" s="21"/>
      <c r="HK276" s="21"/>
      <c r="HL276" s="21"/>
      <c r="HM276" s="21"/>
      <c r="HN276" s="21"/>
      <c r="HO276" s="21"/>
      <c r="HP276" s="21"/>
      <c r="HQ276" s="21"/>
      <c r="HR276" s="21"/>
      <c r="HS276" s="21"/>
      <c r="HT276" s="21"/>
      <c r="HU276" s="21"/>
      <c r="HV276" s="21"/>
      <c r="HW276" s="21"/>
      <c r="HX276" s="21"/>
      <c r="HY276" s="21"/>
      <c r="HZ276" s="21"/>
      <c r="IA276" s="21"/>
      <c r="IB276" s="21"/>
      <c r="IC276" s="21"/>
      <c r="ID276" s="21"/>
      <c r="IE276" s="21"/>
      <c r="IF276" s="21"/>
      <c r="IG276" s="21"/>
      <c r="IH276" s="21"/>
      <c r="II276" s="21"/>
      <c r="IJ276" s="21"/>
      <c r="IK276" s="21"/>
      <c r="IL276" s="21"/>
      <c r="IM276" s="21"/>
      <c r="IN276" s="21"/>
      <c r="IO276" s="21"/>
      <c r="IP276" s="21"/>
      <c r="IQ276" s="21"/>
      <c r="IR276" s="21"/>
      <c r="IS276" s="21"/>
      <c r="IT276" s="21"/>
    </row>
    <row r="277" spans="1:254" s="3" customFormat="1" ht="27" customHeight="1">
      <c r="A277" s="11">
        <v>275</v>
      </c>
      <c r="B277" s="13" t="str">
        <f>"王业康"</f>
        <v>王业康</v>
      </c>
      <c r="C277" s="13" t="s">
        <v>16</v>
      </c>
      <c r="D277" s="13" t="str">
        <f>"230702113405"</f>
        <v>230702113405</v>
      </c>
      <c r="E277" s="18">
        <v>67.88499999999999</v>
      </c>
      <c r="F277" s="19" t="s">
        <v>10</v>
      </c>
      <c r="G277" s="19" t="s">
        <v>10</v>
      </c>
      <c r="H277" s="18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  <c r="DP277" s="20"/>
      <c r="DQ277" s="20"/>
      <c r="DR277" s="20"/>
      <c r="DS277" s="20"/>
      <c r="DT277" s="20"/>
      <c r="DU277" s="20"/>
      <c r="DV277" s="20"/>
      <c r="DW277" s="20"/>
      <c r="DX277" s="20"/>
      <c r="DY277" s="20"/>
      <c r="DZ277" s="20"/>
      <c r="EA277" s="20"/>
      <c r="EB277" s="20"/>
      <c r="EC277" s="20"/>
      <c r="ED277" s="20"/>
      <c r="EE277" s="20"/>
      <c r="EF277" s="20"/>
      <c r="EG277" s="20"/>
      <c r="EH277" s="20"/>
      <c r="EI277" s="20"/>
      <c r="EJ277" s="20"/>
      <c r="EK277" s="20"/>
      <c r="EL277" s="20"/>
      <c r="EM277" s="20"/>
      <c r="EN277" s="20"/>
      <c r="EO277" s="20"/>
      <c r="EP277" s="20"/>
      <c r="EQ277" s="20"/>
      <c r="ER277" s="20"/>
      <c r="ES277" s="20"/>
      <c r="ET277" s="20"/>
      <c r="EU277" s="20"/>
      <c r="EV277" s="20"/>
      <c r="EW277" s="20"/>
      <c r="EX277" s="20"/>
      <c r="EY277" s="20"/>
      <c r="EZ277" s="20"/>
      <c r="FA277" s="20"/>
      <c r="FB277" s="20"/>
      <c r="FC277" s="20"/>
      <c r="FD277" s="20"/>
      <c r="FE277" s="20"/>
      <c r="FF277" s="20"/>
      <c r="FG277" s="20"/>
      <c r="FH277" s="20"/>
      <c r="FI277" s="20"/>
      <c r="FJ277" s="20"/>
      <c r="FK277" s="20"/>
      <c r="FL277" s="20"/>
      <c r="FM277" s="20"/>
      <c r="FN277" s="20"/>
      <c r="FO277" s="20"/>
      <c r="FP277" s="20"/>
      <c r="FQ277" s="20"/>
      <c r="FR277" s="20"/>
      <c r="FS277" s="20"/>
      <c r="FT277" s="20"/>
      <c r="FU277" s="20"/>
      <c r="FV277" s="20"/>
      <c r="FW277" s="20"/>
      <c r="FX277" s="20"/>
      <c r="FY277" s="20"/>
      <c r="FZ277" s="20"/>
      <c r="GA277" s="20"/>
      <c r="GB277" s="20"/>
      <c r="GC277" s="20"/>
      <c r="GD277" s="20"/>
      <c r="GE277" s="20"/>
      <c r="GF277" s="20"/>
      <c r="GG277" s="20"/>
      <c r="GH277" s="20"/>
      <c r="GI277" s="20"/>
      <c r="GJ277" s="20"/>
      <c r="GK277" s="20"/>
      <c r="GL277" s="20"/>
      <c r="GM277" s="20"/>
      <c r="GN277" s="20"/>
      <c r="GO277" s="20"/>
      <c r="GP277" s="20"/>
      <c r="GQ277" s="20"/>
      <c r="GR277" s="20"/>
      <c r="GS277" s="20"/>
      <c r="GT277" s="21"/>
      <c r="GU277" s="21"/>
      <c r="GV277" s="21"/>
      <c r="GW277" s="21"/>
      <c r="GX277" s="21"/>
      <c r="GY277" s="21"/>
      <c r="GZ277" s="21"/>
      <c r="HA277" s="21"/>
      <c r="HB277" s="21"/>
      <c r="HC277" s="21"/>
      <c r="HD277" s="21"/>
      <c r="HE277" s="21"/>
      <c r="HF277" s="21"/>
      <c r="HG277" s="21"/>
      <c r="HH277" s="21"/>
      <c r="HI277" s="21"/>
      <c r="HJ277" s="21"/>
      <c r="HK277" s="21"/>
      <c r="HL277" s="21"/>
      <c r="HM277" s="21"/>
      <c r="HN277" s="21"/>
      <c r="HO277" s="21"/>
      <c r="HP277" s="21"/>
      <c r="HQ277" s="21"/>
      <c r="HR277" s="21"/>
      <c r="HS277" s="21"/>
      <c r="HT277" s="21"/>
      <c r="HU277" s="21"/>
      <c r="HV277" s="21"/>
      <c r="HW277" s="21"/>
      <c r="HX277" s="21"/>
      <c r="HY277" s="21"/>
      <c r="HZ277" s="21"/>
      <c r="IA277" s="21"/>
      <c r="IB277" s="21"/>
      <c r="IC277" s="21"/>
      <c r="ID277" s="21"/>
      <c r="IE277" s="21"/>
      <c r="IF277" s="21"/>
      <c r="IG277" s="21"/>
      <c r="IH277" s="21"/>
      <c r="II277" s="21"/>
      <c r="IJ277" s="21"/>
      <c r="IK277" s="21"/>
      <c r="IL277" s="21"/>
      <c r="IM277" s="21"/>
      <c r="IN277" s="21"/>
      <c r="IO277" s="21"/>
      <c r="IP277" s="21"/>
      <c r="IQ277" s="21"/>
      <c r="IR277" s="21"/>
      <c r="IS277" s="21"/>
      <c r="IT277" s="21"/>
    </row>
    <row r="278" spans="1:254" s="3" customFormat="1" ht="27" customHeight="1">
      <c r="A278" s="11">
        <v>276</v>
      </c>
      <c r="B278" s="13" t="str">
        <f>"罗铭"</f>
        <v>罗铭</v>
      </c>
      <c r="C278" s="13" t="s">
        <v>16</v>
      </c>
      <c r="D278" s="13" t="str">
        <f>"230702200227"</f>
        <v>230702200227</v>
      </c>
      <c r="E278" s="18">
        <v>67.86</v>
      </c>
      <c r="F278" s="19" t="s">
        <v>10</v>
      </c>
      <c r="G278" s="19" t="s">
        <v>10</v>
      </c>
      <c r="H278" s="18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  <c r="CZ278" s="20"/>
      <c r="DA278" s="20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  <c r="DP278" s="20"/>
      <c r="DQ278" s="20"/>
      <c r="DR278" s="20"/>
      <c r="DS278" s="20"/>
      <c r="DT278" s="20"/>
      <c r="DU278" s="20"/>
      <c r="DV278" s="20"/>
      <c r="DW278" s="20"/>
      <c r="DX278" s="20"/>
      <c r="DY278" s="20"/>
      <c r="DZ278" s="20"/>
      <c r="EA278" s="20"/>
      <c r="EB278" s="20"/>
      <c r="EC278" s="20"/>
      <c r="ED278" s="20"/>
      <c r="EE278" s="20"/>
      <c r="EF278" s="20"/>
      <c r="EG278" s="20"/>
      <c r="EH278" s="20"/>
      <c r="EI278" s="20"/>
      <c r="EJ278" s="20"/>
      <c r="EK278" s="20"/>
      <c r="EL278" s="20"/>
      <c r="EM278" s="20"/>
      <c r="EN278" s="20"/>
      <c r="EO278" s="20"/>
      <c r="EP278" s="20"/>
      <c r="EQ278" s="20"/>
      <c r="ER278" s="20"/>
      <c r="ES278" s="20"/>
      <c r="ET278" s="20"/>
      <c r="EU278" s="20"/>
      <c r="EV278" s="20"/>
      <c r="EW278" s="20"/>
      <c r="EX278" s="20"/>
      <c r="EY278" s="20"/>
      <c r="EZ278" s="20"/>
      <c r="FA278" s="20"/>
      <c r="FB278" s="20"/>
      <c r="FC278" s="20"/>
      <c r="FD278" s="20"/>
      <c r="FE278" s="20"/>
      <c r="FF278" s="20"/>
      <c r="FG278" s="20"/>
      <c r="FH278" s="20"/>
      <c r="FI278" s="20"/>
      <c r="FJ278" s="20"/>
      <c r="FK278" s="20"/>
      <c r="FL278" s="20"/>
      <c r="FM278" s="20"/>
      <c r="FN278" s="20"/>
      <c r="FO278" s="20"/>
      <c r="FP278" s="20"/>
      <c r="FQ278" s="20"/>
      <c r="FR278" s="20"/>
      <c r="FS278" s="20"/>
      <c r="FT278" s="20"/>
      <c r="FU278" s="20"/>
      <c r="FV278" s="20"/>
      <c r="FW278" s="20"/>
      <c r="FX278" s="20"/>
      <c r="FY278" s="20"/>
      <c r="FZ278" s="20"/>
      <c r="GA278" s="20"/>
      <c r="GB278" s="20"/>
      <c r="GC278" s="20"/>
      <c r="GD278" s="20"/>
      <c r="GE278" s="20"/>
      <c r="GF278" s="20"/>
      <c r="GG278" s="20"/>
      <c r="GH278" s="20"/>
      <c r="GI278" s="20"/>
      <c r="GJ278" s="20"/>
      <c r="GK278" s="20"/>
      <c r="GL278" s="20"/>
      <c r="GM278" s="20"/>
      <c r="GN278" s="20"/>
      <c r="GO278" s="20"/>
      <c r="GP278" s="20"/>
      <c r="GQ278" s="20"/>
      <c r="GR278" s="20"/>
      <c r="GS278" s="20"/>
      <c r="GT278" s="21"/>
      <c r="GU278" s="21"/>
      <c r="GV278" s="21"/>
      <c r="GW278" s="21"/>
      <c r="GX278" s="21"/>
      <c r="GY278" s="21"/>
      <c r="GZ278" s="21"/>
      <c r="HA278" s="21"/>
      <c r="HB278" s="21"/>
      <c r="HC278" s="21"/>
      <c r="HD278" s="21"/>
      <c r="HE278" s="21"/>
      <c r="HF278" s="21"/>
      <c r="HG278" s="21"/>
      <c r="HH278" s="21"/>
      <c r="HI278" s="21"/>
      <c r="HJ278" s="21"/>
      <c r="HK278" s="21"/>
      <c r="HL278" s="21"/>
      <c r="HM278" s="21"/>
      <c r="HN278" s="21"/>
      <c r="HO278" s="21"/>
      <c r="HP278" s="21"/>
      <c r="HQ278" s="21"/>
      <c r="HR278" s="21"/>
      <c r="HS278" s="21"/>
      <c r="HT278" s="21"/>
      <c r="HU278" s="21"/>
      <c r="HV278" s="21"/>
      <c r="HW278" s="21"/>
      <c r="HX278" s="21"/>
      <c r="HY278" s="21"/>
      <c r="HZ278" s="21"/>
      <c r="IA278" s="21"/>
      <c r="IB278" s="21"/>
      <c r="IC278" s="21"/>
      <c r="ID278" s="21"/>
      <c r="IE278" s="21"/>
      <c r="IF278" s="21"/>
      <c r="IG278" s="21"/>
      <c r="IH278" s="21"/>
      <c r="II278" s="21"/>
      <c r="IJ278" s="21"/>
      <c r="IK278" s="21"/>
      <c r="IL278" s="21"/>
      <c r="IM278" s="21"/>
      <c r="IN278" s="21"/>
      <c r="IO278" s="21"/>
      <c r="IP278" s="21"/>
      <c r="IQ278" s="21"/>
      <c r="IR278" s="21"/>
      <c r="IS278" s="21"/>
      <c r="IT278" s="21"/>
    </row>
    <row r="279" spans="1:254" s="3" customFormat="1" ht="27" customHeight="1">
      <c r="A279" s="11">
        <v>277</v>
      </c>
      <c r="B279" s="13" t="str">
        <f>"李博乾"</f>
        <v>李博乾</v>
      </c>
      <c r="C279" s="13" t="s">
        <v>16</v>
      </c>
      <c r="D279" s="13" t="str">
        <f>"230702112515"</f>
        <v>230702112515</v>
      </c>
      <c r="E279" s="18">
        <v>67.035</v>
      </c>
      <c r="F279" s="19" t="s">
        <v>10</v>
      </c>
      <c r="G279" s="19" t="s">
        <v>10</v>
      </c>
      <c r="H279" s="18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  <c r="DP279" s="20"/>
      <c r="DQ279" s="20"/>
      <c r="DR279" s="20"/>
      <c r="DS279" s="20"/>
      <c r="DT279" s="20"/>
      <c r="DU279" s="20"/>
      <c r="DV279" s="20"/>
      <c r="DW279" s="20"/>
      <c r="DX279" s="20"/>
      <c r="DY279" s="20"/>
      <c r="DZ279" s="20"/>
      <c r="EA279" s="20"/>
      <c r="EB279" s="20"/>
      <c r="EC279" s="20"/>
      <c r="ED279" s="20"/>
      <c r="EE279" s="20"/>
      <c r="EF279" s="20"/>
      <c r="EG279" s="20"/>
      <c r="EH279" s="20"/>
      <c r="EI279" s="20"/>
      <c r="EJ279" s="20"/>
      <c r="EK279" s="20"/>
      <c r="EL279" s="20"/>
      <c r="EM279" s="20"/>
      <c r="EN279" s="20"/>
      <c r="EO279" s="20"/>
      <c r="EP279" s="20"/>
      <c r="EQ279" s="20"/>
      <c r="ER279" s="20"/>
      <c r="ES279" s="20"/>
      <c r="ET279" s="20"/>
      <c r="EU279" s="20"/>
      <c r="EV279" s="20"/>
      <c r="EW279" s="20"/>
      <c r="EX279" s="20"/>
      <c r="EY279" s="20"/>
      <c r="EZ279" s="20"/>
      <c r="FA279" s="20"/>
      <c r="FB279" s="20"/>
      <c r="FC279" s="20"/>
      <c r="FD279" s="20"/>
      <c r="FE279" s="20"/>
      <c r="FF279" s="20"/>
      <c r="FG279" s="20"/>
      <c r="FH279" s="20"/>
      <c r="FI279" s="20"/>
      <c r="FJ279" s="20"/>
      <c r="FK279" s="20"/>
      <c r="FL279" s="20"/>
      <c r="FM279" s="20"/>
      <c r="FN279" s="20"/>
      <c r="FO279" s="20"/>
      <c r="FP279" s="20"/>
      <c r="FQ279" s="20"/>
      <c r="FR279" s="20"/>
      <c r="FS279" s="20"/>
      <c r="FT279" s="20"/>
      <c r="FU279" s="20"/>
      <c r="FV279" s="20"/>
      <c r="FW279" s="20"/>
      <c r="FX279" s="20"/>
      <c r="FY279" s="20"/>
      <c r="FZ279" s="20"/>
      <c r="GA279" s="20"/>
      <c r="GB279" s="20"/>
      <c r="GC279" s="20"/>
      <c r="GD279" s="20"/>
      <c r="GE279" s="20"/>
      <c r="GF279" s="20"/>
      <c r="GG279" s="20"/>
      <c r="GH279" s="20"/>
      <c r="GI279" s="20"/>
      <c r="GJ279" s="20"/>
      <c r="GK279" s="20"/>
      <c r="GL279" s="20"/>
      <c r="GM279" s="20"/>
      <c r="GN279" s="20"/>
      <c r="GO279" s="20"/>
      <c r="GP279" s="20"/>
      <c r="GQ279" s="20"/>
      <c r="GR279" s="20"/>
      <c r="GS279" s="20"/>
      <c r="GT279" s="21"/>
      <c r="GU279" s="21"/>
      <c r="GV279" s="21"/>
      <c r="GW279" s="21"/>
      <c r="GX279" s="21"/>
      <c r="GY279" s="21"/>
      <c r="GZ279" s="21"/>
      <c r="HA279" s="21"/>
      <c r="HB279" s="21"/>
      <c r="HC279" s="21"/>
      <c r="HD279" s="21"/>
      <c r="HE279" s="21"/>
      <c r="HF279" s="21"/>
      <c r="HG279" s="21"/>
      <c r="HH279" s="21"/>
      <c r="HI279" s="21"/>
      <c r="HJ279" s="21"/>
      <c r="HK279" s="21"/>
      <c r="HL279" s="21"/>
      <c r="HM279" s="21"/>
      <c r="HN279" s="21"/>
      <c r="HO279" s="21"/>
      <c r="HP279" s="21"/>
      <c r="HQ279" s="21"/>
      <c r="HR279" s="21"/>
      <c r="HS279" s="21"/>
      <c r="HT279" s="21"/>
      <c r="HU279" s="21"/>
      <c r="HV279" s="21"/>
      <c r="HW279" s="21"/>
      <c r="HX279" s="21"/>
      <c r="HY279" s="21"/>
      <c r="HZ279" s="21"/>
      <c r="IA279" s="21"/>
      <c r="IB279" s="21"/>
      <c r="IC279" s="21"/>
      <c r="ID279" s="21"/>
      <c r="IE279" s="21"/>
      <c r="IF279" s="21"/>
      <c r="IG279" s="21"/>
      <c r="IH279" s="21"/>
      <c r="II279" s="21"/>
      <c r="IJ279" s="21"/>
      <c r="IK279" s="21"/>
      <c r="IL279" s="21"/>
      <c r="IM279" s="21"/>
      <c r="IN279" s="21"/>
      <c r="IO279" s="21"/>
      <c r="IP279" s="21"/>
      <c r="IQ279" s="21"/>
      <c r="IR279" s="21"/>
      <c r="IS279" s="21"/>
      <c r="IT279" s="21"/>
    </row>
    <row r="280" spans="1:254" s="3" customFormat="1" ht="27" customHeight="1">
      <c r="A280" s="11">
        <v>278</v>
      </c>
      <c r="B280" s="13" t="str">
        <f>"周仁华"</f>
        <v>周仁华</v>
      </c>
      <c r="C280" s="13" t="s">
        <v>16</v>
      </c>
      <c r="D280" s="13" t="str">
        <f>"230702200728"</f>
        <v>230702200728</v>
      </c>
      <c r="E280" s="18">
        <v>66.6</v>
      </c>
      <c r="F280" s="19" t="s">
        <v>10</v>
      </c>
      <c r="G280" s="19" t="s">
        <v>10</v>
      </c>
      <c r="H280" s="18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  <c r="DP280" s="20"/>
      <c r="DQ280" s="20"/>
      <c r="DR280" s="20"/>
      <c r="DS280" s="20"/>
      <c r="DT280" s="20"/>
      <c r="DU280" s="20"/>
      <c r="DV280" s="20"/>
      <c r="DW280" s="20"/>
      <c r="DX280" s="20"/>
      <c r="DY280" s="20"/>
      <c r="DZ280" s="20"/>
      <c r="EA280" s="20"/>
      <c r="EB280" s="20"/>
      <c r="EC280" s="20"/>
      <c r="ED280" s="20"/>
      <c r="EE280" s="20"/>
      <c r="EF280" s="20"/>
      <c r="EG280" s="20"/>
      <c r="EH280" s="20"/>
      <c r="EI280" s="20"/>
      <c r="EJ280" s="20"/>
      <c r="EK280" s="20"/>
      <c r="EL280" s="20"/>
      <c r="EM280" s="20"/>
      <c r="EN280" s="20"/>
      <c r="EO280" s="20"/>
      <c r="EP280" s="20"/>
      <c r="EQ280" s="20"/>
      <c r="ER280" s="20"/>
      <c r="ES280" s="20"/>
      <c r="ET280" s="20"/>
      <c r="EU280" s="20"/>
      <c r="EV280" s="20"/>
      <c r="EW280" s="20"/>
      <c r="EX280" s="20"/>
      <c r="EY280" s="20"/>
      <c r="EZ280" s="20"/>
      <c r="FA280" s="20"/>
      <c r="FB280" s="20"/>
      <c r="FC280" s="20"/>
      <c r="FD280" s="20"/>
      <c r="FE280" s="20"/>
      <c r="FF280" s="20"/>
      <c r="FG280" s="20"/>
      <c r="FH280" s="20"/>
      <c r="FI280" s="20"/>
      <c r="FJ280" s="20"/>
      <c r="FK280" s="20"/>
      <c r="FL280" s="20"/>
      <c r="FM280" s="20"/>
      <c r="FN280" s="20"/>
      <c r="FO280" s="20"/>
      <c r="FP280" s="20"/>
      <c r="FQ280" s="20"/>
      <c r="FR280" s="20"/>
      <c r="FS280" s="20"/>
      <c r="FT280" s="20"/>
      <c r="FU280" s="20"/>
      <c r="FV280" s="20"/>
      <c r="FW280" s="20"/>
      <c r="FX280" s="20"/>
      <c r="FY280" s="20"/>
      <c r="FZ280" s="20"/>
      <c r="GA280" s="20"/>
      <c r="GB280" s="20"/>
      <c r="GC280" s="20"/>
      <c r="GD280" s="20"/>
      <c r="GE280" s="20"/>
      <c r="GF280" s="20"/>
      <c r="GG280" s="20"/>
      <c r="GH280" s="20"/>
      <c r="GI280" s="20"/>
      <c r="GJ280" s="20"/>
      <c r="GK280" s="20"/>
      <c r="GL280" s="20"/>
      <c r="GM280" s="20"/>
      <c r="GN280" s="20"/>
      <c r="GO280" s="20"/>
      <c r="GP280" s="20"/>
      <c r="GQ280" s="20"/>
      <c r="GR280" s="20"/>
      <c r="GS280" s="20"/>
      <c r="GT280" s="21"/>
      <c r="GU280" s="21"/>
      <c r="GV280" s="21"/>
      <c r="GW280" s="21"/>
      <c r="GX280" s="21"/>
      <c r="GY280" s="21"/>
      <c r="GZ280" s="21"/>
      <c r="HA280" s="21"/>
      <c r="HB280" s="21"/>
      <c r="HC280" s="21"/>
      <c r="HD280" s="21"/>
      <c r="HE280" s="21"/>
      <c r="HF280" s="21"/>
      <c r="HG280" s="21"/>
      <c r="HH280" s="21"/>
      <c r="HI280" s="21"/>
      <c r="HJ280" s="21"/>
      <c r="HK280" s="21"/>
      <c r="HL280" s="21"/>
      <c r="HM280" s="21"/>
      <c r="HN280" s="21"/>
      <c r="HO280" s="21"/>
      <c r="HP280" s="21"/>
      <c r="HQ280" s="21"/>
      <c r="HR280" s="21"/>
      <c r="HS280" s="21"/>
      <c r="HT280" s="21"/>
      <c r="HU280" s="21"/>
      <c r="HV280" s="21"/>
      <c r="HW280" s="21"/>
      <c r="HX280" s="21"/>
      <c r="HY280" s="21"/>
      <c r="HZ280" s="21"/>
      <c r="IA280" s="21"/>
      <c r="IB280" s="21"/>
      <c r="IC280" s="21"/>
      <c r="ID280" s="21"/>
      <c r="IE280" s="21"/>
      <c r="IF280" s="21"/>
      <c r="IG280" s="21"/>
      <c r="IH280" s="21"/>
      <c r="II280" s="21"/>
      <c r="IJ280" s="21"/>
      <c r="IK280" s="21"/>
      <c r="IL280" s="21"/>
      <c r="IM280" s="21"/>
      <c r="IN280" s="21"/>
      <c r="IO280" s="21"/>
      <c r="IP280" s="21"/>
      <c r="IQ280" s="21"/>
      <c r="IR280" s="21"/>
      <c r="IS280" s="21"/>
      <c r="IT280" s="21"/>
    </row>
    <row r="281" spans="1:254" s="3" customFormat="1" ht="27" customHeight="1">
      <c r="A281" s="11">
        <v>279</v>
      </c>
      <c r="B281" s="13" t="str">
        <f>"陈国骏"</f>
        <v>陈国骏</v>
      </c>
      <c r="C281" s="13" t="s">
        <v>16</v>
      </c>
      <c r="D281" s="13" t="str">
        <f>"230702200612"</f>
        <v>230702200612</v>
      </c>
      <c r="E281" s="18">
        <v>66.565</v>
      </c>
      <c r="F281" s="19" t="s">
        <v>10</v>
      </c>
      <c r="G281" s="19" t="s">
        <v>10</v>
      </c>
      <c r="H281" s="18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  <c r="DP281" s="20"/>
      <c r="DQ281" s="20"/>
      <c r="DR281" s="20"/>
      <c r="DS281" s="20"/>
      <c r="DT281" s="20"/>
      <c r="DU281" s="20"/>
      <c r="DV281" s="20"/>
      <c r="DW281" s="20"/>
      <c r="DX281" s="20"/>
      <c r="DY281" s="20"/>
      <c r="DZ281" s="20"/>
      <c r="EA281" s="20"/>
      <c r="EB281" s="20"/>
      <c r="EC281" s="20"/>
      <c r="ED281" s="20"/>
      <c r="EE281" s="20"/>
      <c r="EF281" s="20"/>
      <c r="EG281" s="20"/>
      <c r="EH281" s="20"/>
      <c r="EI281" s="20"/>
      <c r="EJ281" s="20"/>
      <c r="EK281" s="20"/>
      <c r="EL281" s="20"/>
      <c r="EM281" s="20"/>
      <c r="EN281" s="20"/>
      <c r="EO281" s="20"/>
      <c r="EP281" s="20"/>
      <c r="EQ281" s="20"/>
      <c r="ER281" s="20"/>
      <c r="ES281" s="20"/>
      <c r="ET281" s="20"/>
      <c r="EU281" s="20"/>
      <c r="EV281" s="20"/>
      <c r="EW281" s="20"/>
      <c r="EX281" s="20"/>
      <c r="EY281" s="20"/>
      <c r="EZ281" s="20"/>
      <c r="FA281" s="20"/>
      <c r="FB281" s="20"/>
      <c r="FC281" s="20"/>
      <c r="FD281" s="20"/>
      <c r="FE281" s="20"/>
      <c r="FF281" s="20"/>
      <c r="FG281" s="20"/>
      <c r="FH281" s="20"/>
      <c r="FI281" s="20"/>
      <c r="FJ281" s="20"/>
      <c r="FK281" s="20"/>
      <c r="FL281" s="20"/>
      <c r="FM281" s="20"/>
      <c r="FN281" s="20"/>
      <c r="FO281" s="20"/>
      <c r="FP281" s="20"/>
      <c r="FQ281" s="20"/>
      <c r="FR281" s="20"/>
      <c r="FS281" s="20"/>
      <c r="FT281" s="20"/>
      <c r="FU281" s="20"/>
      <c r="FV281" s="20"/>
      <c r="FW281" s="20"/>
      <c r="FX281" s="20"/>
      <c r="FY281" s="20"/>
      <c r="FZ281" s="20"/>
      <c r="GA281" s="20"/>
      <c r="GB281" s="20"/>
      <c r="GC281" s="20"/>
      <c r="GD281" s="20"/>
      <c r="GE281" s="20"/>
      <c r="GF281" s="20"/>
      <c r="GG281" s="20"/>
      <c r="GH281" s="20"/>
      <c r="GI281" s="20"/>
      <c r="GJ281" s="20"/>
      <c r="GK281" s="20"/>
      <c r="GL281" s="20"/>
      <c r="GM281" s="20"/>
      <c r="GN281" s="20"/>
      <c r="GO281" s="20"/>
      <c r="GP281" s="20"/>
      <c r="GQ281" s="20"/>
      <c r="GR281" s="20"/>
      <c r="GS281" s="20"/>
      <c r="GT281" s="21"/>
      <c r="GU281" s="21"/>
      <c r="GV281" s="21"/>
      <c r="GW281" s="21"/>
      <c r="GX281" s="21"/>
      <c r="GY281" s="21"/>
      <c r="GZ281" s="21"/>
      <c r="HA281" s="21"/>
      <c r="HB281" s="21"/>
      <c r="HC281" s="21"/>
      <c r="HD281" s="21"/>
      <c r="HE281" s="21"/>
      <c r="HF281" s="21"/>
      <c r="HG281" s="21"/>
      <c r="HH281" s="21"/>
      <c r="HI281" s="21"/>
      <c r="HJ281" s="21"/>
      <c r="HK281" s="21"/>
      <c r="HL281" s="21"/>
      <c r="HM281" s="21"/>
      <c r="HN281" s="21"/>
      <c r="HO281" s="21"/>
      <c r="HP281" s="21"/>
      <c r="HQ281" s="21"/>
      <c r="HR281" s="21"/>
      <c r="HS281" s="21"/>
      <c r="HT281" s="21"/>
      <c r="HU281" s="21"/>
      <c r="HV281" s="21"/>
      <c r="HW281" s="21"/>
      <c r="HX281" s="21"/>
      <c r="HY281" s="21"/>
      <c r="HZ281" s="21"/>
      <c r="IA281" s="21"/>
      <c r="IB281" s="21"/>
      <c r="IC281" s="21"/>
      <c r="ID281" s="21"/>
      <c r="IE281" s="21"/>
      <c r="IF281" s="21"/>
      <c r="IG281" s="21"/>
      <c r="IH281" s="21"/>
      <c r="II281" s="21"/>
      <c r="IJ281" s="21"/>
      <c r="IK281" s="21"/>
      <c r="IL281" s="21"/>
      <c r="IM281" s="21"/>
      <c r="IN281" s="21"/>
      <c r="IO281" s="21"/>
      <c r="IP281" s="21"/>
      <c r="IQ281" s="21"/>
      <c r="IR281" s="21"/>
      <c r="IS281" s="21"/>
      <c r="IT281" s="21"/>
    </row>
    <row r="282" spans="1:254" s="3" customFormat="1" ht="27" customHeight="1">
      <c r="A282" s="11">
        <v>280</v>
      </c>
      <c r="B282" s="13" t="str">
        <f>"文云葵"</f>
        <v>文云葵</v>
      </c>
      <c r="C282" s="13" t="s">
        <v>16</v>
      </c>
      <c r="D282" s="13" t="str">
        <f>"230702112205"</f>
        <v>230702112205</v>
      </c>
      <c r="E282" s="18">
        <v>66.545</v>
      </c>
      <c r="F282" s="19" t="s">
        <v>10</v>
      </c>
      <c r="G282" s="19" t="s">
        <v>10</v>
      </c>
      <c r="H282" s="18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  <c r="DP282" s="20"/>
      <c r="DQ282" s="20"/>
      <c r="DR282" s="20"/>
      <c r="DS282" s="20"/>
      <c r="DT282" s="20"/>
      <c r="DU282" s="20"/>
      <c r="DV282" s="20"/>
      <c r="DW282" s="20"/>
      <c r="DX282" s="20"/>
      <c r="DY282" s="20"/>
      <c r="DZ282" s="20"/>
      <c r="EA282" s="20"/>
      <c r="EB282" s="20"/>
      <c r="EC282" s="20"/>
      <c r="ED282" s="20"/>
      <c r="EE282" s="20"/>
      <c r="EF282" s="20"/>
      <c r="EG282" s="20"/>
      <c r="EH282" s="20"/>
      <c r="EI282" s="20"/>
      <c r="EJ282" s="20"/>
      <c r="EK282" s="20"/>
      <c r="EL282" s="20"/>
      <c r="EM282" s="20"/>
      <c r="EN282" s="20"/>
      <c r="EO282" s="20"/>
      <c r="EP282" s="20"/>
      <c r="EQ282" s="20"/>
      <c r="ER282" s="20"/>
      <c r="ES282" s="20"/>
      <c r="ET282" s="20"/>
      <c r="EU282" s="20"/>
      <c r="EV282" s="20"/>
      <c r="EW282" s="20"/>
      <c r="EX282" s="20"/>
      <c r="EY282" s="20"/>
      <c r="EZ282" s="20"/>
      <c r="FA282" s="20"/>
      <c r="FB282" s="20"/>
      <c r="FC282" s="20"/>
      <c r="FD282" s="20"/>
      <c r="FE282" s="20"/>
      <c r="FF282" s="20"/>
      <c r="FG282" s="20"/>
      <c r="FH282" s="20"/>
      <c r="FI282" s="20"/>
      <c r="FJ282" s="20"/>
      <c r="FK282" s="20"/>
      <c r="FL282" s="20"/>
      <c r="FM282" s="20"/>
      <c r="FN282" s="20"/>
      <c r="FO282" s="20"/>
      <c r="FP282" s="20"/>
      <c r="FQ282" s="20"/>
      <c r="FR282" s="20"/>
      <c r="FS282" s="20"/>
      <c r="FT282" s="20"/>
      <c r="FU282" s="20"/>
      <c r="FV282" s="20"/>
      <c r="FW282" s="20"/>
      <c r="FX282" s="20"/>
      <c r="FY282" s="20"/>
      <c r="FZ282" s="20"/>
      <c r="GA282" s="20"/>
      <c r="GB282" s="20"/>
      <c r="GC282" s="20"/>
      <c r="GD282" s="20"/>
      <c r="GE282" s="20"/>
      <c r="GF282" s="20"/>
      <c r="GG282" s="20"/>
      <c r="GH282" s="20"/>
      <c r="GI282" s="20"/>
      <c r="GJ282" s="20"/>
      <c r="GK282" s="20"/>
      <c r="GL282" s="20"/>
      <c r="GM282" s="20"/>
      <c r="GN282" s="20"/>
      <c r="GO282" s="20"/>
      <c r="GP282" s="20"/>
      <c r="GQ282" s="20"/>
      <c r="GR282" s="20"/>
      <c r="GS282" s="20"/>
      <c r="GT282" s="21"/>
      <c r="GU282" s="21"/>
      <c r="GV282" s="21"/>
      <c r="GW282" s="21"/>
      <c r="GX282" s="21"/>
      <c r="GY282" s="21"/>
      <c r="GZ282" s="21"/>
      <c r="HA282" s="21"/>
      <c r="HB282" s="21"/>
      <c r="HC282" s="21"/>
      <c r="HD282" s="21"/>
      <c r="HE282" s="21"/>
      <c r="HF282" s="21"/>
      <c r="HG282" s="21"/>
      <c r="HH282" s="21"/>
      <c r="HI282" s="21"/>
      <c r="HJ282" s="21"/>
      <c r="HK282" s="21"/>
      <c r="HL282" s="21"/>
      <c r="HM282" s="21"/>
      <c r="HN282" s="21"/>
      <c r="HO282" s="21"/>
      <c r="HP282" s="21"/>
      <c r="HQ282" s="21"/>
      <c r="HR282" s="21"/>
      <c r="HS282" s="21"/>
      <c r="HT282" s="21"/>
      <c r="HU282" s="21"/>
      <c r="HV282" s="21"/>
      <c r="HW282" s="21"/>
      <c r="HX282" s="21"/>
      <c r="HY282" s="21"/>
      <c r="HZ282" s="21"/>
      <c r="IA282" s="21"/>
      <c r="IB282" s="21"/>
      <c r="IC282" s="21"/>
      <c r="ID282" s="21"/>
      <c r="IE282" s="21"/>
      <c r="IF282" s="21"/>
      <c r="IG282" s="21"/>
      <c r="IH282" s="21"/>
      <c r="II282" s="21"/>
      <c r="IJ282" s="21"/>
      <c r="IK282" s="21"/>
      <c r="IL282" s="21"/>
      <c r="IM282" s="21"/>
      <c r="IN282" s="21"/>
      <c r="IO282" s="21"/>
      <c r="IP282" s="21"/>
      <c r="IQ282" s="21"/>
      <c r="IR282" s="21"/>
      <c r="IS282" s="21"/>
      <c r="IT282" s="21"/>
    </row>
    <row r="283" spans="1:254" s="3" customFormat="1" ht="27" customHeight="1">
      <c r="A283" s="11">
        <v>281</v>
      </c>
      <c r="B283" s="13" t="str">
        <f>"王明文"</f>
        <v>王明文</v>
      </c>
      <c r="C283" s="13" t="s">
        <v>17</v>
      </c>
      <c r="D283" s="13" t="str">
        <f>"230702200916"</f>
        <v>230702200916</v>
      </c>
      <c r="E283" s="18">
        <v>69.47999999999999</v>
      </c>
      <c r="F283" s="19" t="s">
        <v>10</v>
      </c>
      <c r="G283" s="19" t="s">
        <v>10</v>
      </c>
      <c r="H283" s="18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  <c r="DP283" s="20"/>
      <c r="DQ283" s="20"/>
      <c r="DR283" s="20"/>
      <c r="DS283" s="20"/>
      <c r="DT283" s="20"/>
      <c r="DU283" s="20"/>
      <c r="DV283" s="20"/>
      <c r="DW283" s="20"/>
      <c r="DX283" s="20"/>
      <c r="DY283" s="20"/>
      <c r="DZ283" s="20"/>
      <c r="EA283" s="20"/>
      <c r="EB283" s="20"/>
      <c r="EC283" s="20"/>
      <c r="ED283" s="20"/>
      <c r="EE283" s="20"/>
      <c r="EF283" s="20"/>
      <c r="EG283" s="20"/>
      <c r="EH283" s="20"/>
      <c r="EI283" s="20"/>
      <c r="EJ283" s="20"/>
      <c r="EK283" s="20"/>
      <c r="EL283" s="20"/>
      <c r="EM283" s="20"/>
      <c r="EN283" s="20"/>
      <c r="EO283" s="20"/>
      <c r="EP283" s="20"/>
      <c r="EQ283" s="20"/>
      <c r="ER283" s="20"/>
      <c r="ES283" s="20"/>
      <c r="ET283" s="20"/>
      <c r="EU283" s="20"/>
      <c r="EV283" s="20"/>
      <c r="EW283" s="20"/>
      <c r="EX283" s="20"/>
      <c r="EY283" s="20"/>
      <c r="EZ283" s="20"/>
      <c r="FA283" s="20"/>
      <c r="FB283" s="20"/>
      <c r="FC283" s="20"/>
      <c r="FD283" s="20"/>
      <c r="FE283" s="20"/>
      <c r="FF283" s="20"/>
      <c r="FG283" s="20"/>
      <c r="FH283" s="20"/>
      <c r="FI283" s="20"/>
      <c r="FJ283" s="20"/>
      <c r="FK283" s="20"/>
      <c r="FL283" s="20"/>
      <c r="FM283" s="20"/>
      <c r="FN283" s="20"/>
      <c r="FO283" s="20"/>
      <c r="FP283" s="20"/>
      <c r="FQ283" s="20"/>
      <c r="FR283" s="20"/>
      <c r="FS283" s="20"/>
      <c r="FT283" s="20"/>
      <c r="FU283" s="20"/>
      <c r="FV283" s="20"/>
      <c r="FW283" s="20"/>
      <c r="FX283" s="20"/>
      <c r="FY283" s="20"/>
      <c r="FZ283" s="20"/>
      <c r="GA283" s="20"/>
      <c r="GB283" s="20"/>
      <c r="GC283" s="20"/>
      <c r="GD283" s="20"/>
      <c r="GE283" s="20"/>
      <c r="GF283" s="20"/>
      <c r="GG283" s="20"/>
      <c r="GH283" s="20"/>
      <c r="GI283" s="20"/>
      <c r="GJ283" s="20"/>
      <c r="GK283" s="20"/>
      <c r="GL283" s="20"/>
      <c r="GM283" s="20"/>
      <c r="GN283" s="20"/>
      <c r="GO283" s="20"/>
      <c r="GP283" s="20"/>
      <c r="GQ283" s="20"/>
      <c r="GR283" s="20"/>
      <c r="GS283" s="20"/>
      <c r="GT283" s="21"/>
      <c r="GU283" s="21"/>
      <c r="GV283" s="21"/>
      <c r="GW283" s="21"/>
      <c r="GX283" s="21"/>
      <c r="GY283" s="21"/>
      <c r="GZ283" s="21"/>
      <c r="HA283" s="21"/>
      <c r="HB283" s="21"/>
      <c r="HC283" s="21"/>
      <c r="HD283" s="21"/>
      <c r="HE283" s="21"/>
      <c r="HF283" s="21"/>
      <c r="HG283" s="21"/>
      <c r="HH283" s="21"/>
      <c r="HI283" s="21"/>
      <c r="HJ283" s="21"/>
      <c r="HK283" s="21"/>
      <c r="HL283" s="21"/>
      <c r="HM283" s="21"/>
      <c r="HN283" s="21"/>
      <c r="HO283" s="21"/>
      <c r="HP283" s="21"/>
      <c r="HQ283" s="21"/>
      <c r="HR283" s="21"/>
      <c r="HS283" s="21"/>
      <c r="HT283" s="21"/>
      <c r="HU283" s="21"/>
      <c r="HV283" s="21"/>
      <c r="HW283" s="21"/>
      <c r="HX283" s="21"/>
      <c r="HY283" s="21"/>
      <c r="HZ283" s="21"/>
      <c r="IA283" s="21"/>
      <c r="IB283" s="21"/>
      <c r="IC283" s="21"/>
      <c r="ID283" s="21"/>
      <c r="IE283" s="21"/>
      <c r="IF283" s="21"/>
      <c r="IG283" s="21"/>
      <c r="IH283" s="21"/>
      <c r="II283" s="21"/>
      <c r="IJ283" s="21"/>
      <c r="IK283" s="21"/>
      <c r="IL283" s="21"/>
      <c r="IM283" s="21"/>
      <c r="IN283" s="21"/>
      <c r="IO283" s="21"/>
      <c r="IP283" s="21"/>
      <c r="IQ283" s="21"/>
      <c r="IR283" s="21"/>
      <c r="IS283" s="21"/>
      <c r="IT283" s="21"/>
    </row>
    <row r="284" spans="1:254" s="3" customFormat="1" ht="27" customHeight="1">
      <c r="A284" s="11">
        <v>282</v>
      </c>
      <c r="B284" s="13" t="str">
        <f>"严诗洋"</f>
        <v>严诗洋</v>
      </c>
      <c r="C284" s="13" t="s">
        <v>18</v>
      </c>
      <c r="D284" s="13" t="str">
        <f>"230702201124"</f>
        <v>230702201124</v>
      </c>
      <c r="E284" s="18">
        <v>68.495</v>
      </c>
      <c r="F284" s="19" t="s">
        <v>10</v>
      </c>
      <c r="G284" s="19" t="s">
        <v>10</v>
      </c>
      <c r="H284" s="18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  <c r="DP284" s="20"/>
      <c r="DQ284" s="20"/>
      <c r="DR284" s="20"/>
      <c r="DS284" s="20"/>
      <c r="DT284" s="20"/>
      <c r="DU284" s="20"/>
      <c r="DV284" s="20"/>
      <c r="DW284" s="20"/>
      <c r="DX284" s="20"/>
      <c r="DY284" s="20"/>
      <c r="DZ284" s="20"/>
      <c r="EA284" s="20"/>
      <c r="EB284" s="20"/>
      <c r="EC284" s="20"/>
      <c r="ED284" s="20"/>
      <c r="EE284" s="20"/>
      <c r="EF284" s="20"/>
      <c r="EG284" s="20"/>
      <c r="EH284" s="20"/>
      <c r="EI284" s="20"/>
      <c r="EJ284" s="20"/>
      <c r="EK284" s="20"/>
      <c r="EL284" s="20"/>
      <c r="EM284" s="20"/>
      <c r="EN284" s="20"/>
      <c r="EO284" s="20"/>
      <c r="EP284" s="20"/>
      <c r="EQ284" s="20"/>
      <c r="ER284" s="20"/>
      <c r="ES284" s="20"/>
      <c r="ET284" s="20"/>
      <c r="EU284" s="20"/>
      <c r="EV284" s="20"/>
      <c r="EW284" s="20"/>
      <c r="EX284" s="20"/>
      <c r="EY284" s="20"/>
      <c r="EZ284" s="20"/>
      <c r="FA284" s="20"/>
      <c r="FB284" s="20"/>
      <c r="FC284" s="20"/>
      <c r="FD284" s="20"/>
      <c r="FE284" s="20"/>
      <c r="FF284" s="20"/>
      <c r="FG284" s="20"/>
      <c r="FH284" s="20"/>
      <c r="FI284" s="20"/>
      <c r="FJ284" s="20"/>
      <c r="FK284" s="20"/>
      <c r="FL284" s="20"/>
      <c r="FM284" s="20"/>
      <c r="FN284" s="20"/>
      <c r="FO284" s="20"/>
      <c r="FP284" s="20"/>
      <c r="FQ284" s="20"/>
      <c r="FR284" s="20"/>
      <c r="FS284" s="20"/>
      <c r="FT284" s="20"/>
      <c r="FU284" s="20"/>
      <c r="FV284" s="20"/>
      <c r="FW284" s="20"/>
      <c r="FX284" s="20"/>
      <c r="FY284" s="20"/>
      <c r="FZ284" s="20"/>
      <c r="GA284" s="20"/>
      <c r="GB284" s="20"/>
      <c r="GC284" s="20"/>
      <c r="GD284" s="20"/>
      <c r="GE284" s="20"/>
      <c r="GF284" s="20"/>
      <c r="GG284" s="20"/>
      <c r="GH284" s="20"/>
      <c r="GI284" s="20"/>
      <c r="GJ284" s="20"/>
      <c r="GK284" s="20"/>
      <c r="GL284" s="20"/>
      <c r="GM284" s="20"/>
      <c r="GN284" s="20"/>
      <c r="GO284" s="20"/>
      <c r="GP284" s="20"/>
      <c r="GQ284" s="20"/>
      <c r="GR284" s="20"/>
      <c r="GS284" s="20"/>
      <c r="GT284" s="21"/>
      <c r="GU284" s="21"/>
      <c r="GV284" s="21"/>
      <c r="GW284" s="21"/>
      <c r="GX284" s="21"/>
      <c r="GY284" s="21"/>
      <c r="GZ284" s="21"/>
      <c r="HA284" s="21"/>
      <c r="HB284" s="21"/>
      <c r="HC284" s="21"/>
      <c r="HD284" s="21"/>
      <c r="HE284" s="21"/>
      <c r="HF284" s="21"/>
      <c r="HG284" s="21"/>
      <c r="HH284" s="21"/>
      <c r="HI284" s="21"/>
      <c r="HJ284" s="21"/>
      <c r="HK284" s="21"/>
      <c r="HL284" s="21"/>
      <c r="HM284" s="21"/>
      <c r="HN284" s="21"/>
      <c r="HO284" s="21"/>
      <c r="HP284" s="21"/>
      <c r="HQ284" s="21"/>
      <c r="HR284" s="21"/>
      <c r="HS284" s="21"/>
      <c r="HT284" s="21"/>
      <c r="HU284" s="21"/>
      <c r="HV284" s="21"/>
      <c r="HW284" s="21"/>
      <c r="HX284" s="21"/>
      <c r="HY284" s="21"/>
      <c r="HZ284" s="21"/>
      <c r="IA284" s="21"/>
      <c r="IB284" s="21"/>
      <c r="IC284" s="21"/>
      <c r="ID284" s="21"/>
      <c r="IE284" s="21"/>
      <c r="IF284" s="21"/>
      <c r="IG284" s="21"/>
      <c r="IH284" s="21"/>
      <c r="II284" s="21"/>
      <c r="IJ284" s="21"/>
      <c r="IK284" s="21"/>
      <c r="IL284" s="21"/>
      <c r="IM284" s="21"/>
      <c r="IN284" s="21"/>
      <c r="IO284" s="21"/>
      <c r="IP284" s="21"/>
      <c r="IQ284" s="21"/>
      <c r="IR284" s="21"/>
      <c r="IS284" s="21"/>
      <c r="IT284" s="21"/>
    </row>
    <row r="285" spans="1:254" s="3" customFormat="1" ht="27" customHeight="1">
      <c r="A285" s="11">
        <v>283</v>
      </c>
      <c r="B285" s="13" t="str">
        <f>"符山挺"</f>
        <v>符山挺</v>
      </c>
      <c r="C285" s="13" t="s">
        <v>18</v>
      </c>
      <c r="D285" s="13" t="str">
        <f>"230702201402"</f>
        <v>230702201402</v>
      </c>
      <c r="E285" s="18">
        <v>67.65</v>
      </c>
      <c r="F285" s="19" t="s">
        <v>10</v>
      </c>
      <c r="G285" s="19" t="s">
        <v>10</v>
      </c>
      <c r="H285" s="18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  <c r="DP285" s="20"/>
      <c r="DQ285" s="20"/>
      <c r="DR285" s="20"/>
      <c r="DS285" s="20"/>
      <c r="DT285" s="20"/>
      <c r="DU285" s="20"/>
      <c r="DV285" s="20"/>
      <c r="DW285" s="20"/>
      <c r="DX285" s="20"/>
      <c r="DY285" s="20"/>
      <c r="DZ285" s="20"/>
      <c r="EA285" s="20"/>
      <c r="EB285" s="20"/>
      <c r="EC285" s="20"/>
      <c r="ED285" s="20"/>
      <c r="EE285" s="20"/>
      <c r="EF285" s="20"/>
      <c r="EG285" s="20"/>
      <c r="EH285" s="20"/>
      <c r="EI285" s="20"/>
      <c r="EJ285" s="20"/>
      <c r="EK285" s="20"/>
      <c r="EL285" s="20"/>
      <c r="EM285" s="20"/>
      <c r="EN285" s="20"/>
      <c r="EO285" s="20"/>
      <c r="EP285" s="20"/>
      <c r="EQ285" s="20"/>
      <c r="ER285" s="20"/>
      <c r="ES285" s="20"/>
      <c r="ET285" s="20"/>
      <c r="EU285" s="20"/>
      <c r="EV285" s="20"/>
      <c r="EW285" s="20"/>
      <c r="EX285" s="20"/>
      <c r="EY285" s="20"/>
      <c r="EZ285" s="20"/>
      <c r="FA285" s="20"/>
      <c r="FB285" s="20"/>
      <c r="FC285" s="20"/>
      <c r="FD285" s="20"/>
      <c r="FE285" s="20"/>
      <c r="FF285" s="20"/>
      <c r="FG285" s="20"/>
      <c r="FH285" s="20"/>
      <c r="FI285" s="20"/>
      <c r="FJ285" s="20"/>
      <c r="FK285" s="20"/>
      <c r="FL285" s="20"/>
      <c r="FM285" s="20"/>
      <c r="FN285" s="20"/>
      <c r="FO285" s="20"/>
      <c r="FP285" s="20"/>
      <c r="FQ285" s="20"/>
      <c r="FR285" s="20"/>
      <c r="FS285" s="20"/>
      <c r="FT285" s="20"/>
      <c r="FU285" s="20"/>
      <c r="FV285" s="20"/>
      <c r="FW285" s="20"/>
      <c r="FX285" s="20"/>
      <c r="FY285" s="20"/>
      <c r="FZ285" s="20"/>
      <c r="GA285" s="20"/>
      <c r="GB285" s="20"/>
      <c r="GC285" s="20"/>
      <c r="GD285" s="20"/>
      <c r="GE285" s="20"/>
      <c r="GF285" s="20"/>
      <c r="GG285" s="20"/>
      <c r="GH285" s="20"/>
      <c r="GI285" s="20"/>
      <c r="GJ285" s="20"/>
      <c r="GK285" s="20"/>
      <c r="GL285" s="20"/>
      <c r="GM285" s="20"/>
      <c r="GN285" s="20"/>
      <c r="GO285" s="20"/>
      <c r="GP285" s="20"/>
      <c r="GQ285" s="20"/>
      <c r="GR285" s="20"/>
      <c r="GS285" s="20"/>
      <c r="GT285" s="21"/>
      <c r="GU285" s="21"/>
      <c r="GV285" s="21"/>
      <c r="GW285" s="21"/>
      <c r="GX285" s="21"/>
      <c r="GY285" s="21"/>
      <c r="GZ285" s="21"/>
      <c r="HA285" s="21"/>
      <c r="HB285" s="21"/>
      <c r="HC285" s="21"/>
      <c r="HD285" s="21"/>
      <c r="HE285" s="21"/>
      <c r="HF285" s="21"/>
      <c r="HG285" s="21"/>
      <c r="HH285" s="21"/>
      <c r="HI285" s="21"/>
      <c r="HJ285" s="21"/>
      <c r="HK285" s="21"/>
      <c r="HL285" s="21"/>
      <c r="HM285" s="21"/>
      <c r="HN285" s="21"/>
      <c r="HO285" s="21"/>
      <c r="HP285" s="21"/>
      <c r="HQ285" s="21"/>
      <c r="HR285" s="21"/>
      <c r="HS285" s="21"/>
      <c r="HT285" s="21"/>
      <c r="HU285" s="21"/>
      <c r="HV285" s="21"/>
      <c r="HW285" s="21"/>
      <c r="HX285" s="21"/>
      <c r="HY285" s="21"/>
      <c r="HZ285" s="21"/>
      <c r="IA285" s="21"/>
      <c r="IB285" s="21"/>
      <c r="IC285" s="21"/>
      <c r="ID285" s="21"/>
      <c r="IE285" s="21"/>
      <c r="IF285" s="21"/>
      <c r="IG285" s="21"/>
      <c r="IH285" s="21"/>
      <c r="II285" s="21"/>
      <c r="IJ285" s="21"/>
      <c r="IK285" s="21"/>
      <c r="IL285" s="21"/>
      <c r="IM285" s="21"/>
      <c r="IN285" s="21"/>
      <c r="IO285" s="21"/>
      <c r="IP285" s="21"/>
      <c r="IQ285" s="21"/>
      <c r="IR285" s="21"/>
      <c r="IS285" s="21"/>
      <c r="IT285" s="21"/>
    </row>
    <row r="286" spans="1:254" s="3" customFormat="1" ht="27" customHeight="1">
      <c r="A286" s="11">
        <v>284</v>
      </c>
      <c r="B286" s="13" t="str">
        <f>"何荣超"</f>
        <v>何荣超</v>
      </c>
      <c r="C286" s="13" t="s">
        <v>18</v>
      </c>
      <c r="D286" s="13" t="str">
        <f>"230702201304"</f>
        <v>230702201304</v>
      </c>
      <c r="E286" s="18">
        <v>67.56</v>
      </c>
      <c r="F286" s="19" t="s">
        <v>10</v>
      </c>
      <c r="G286" s="19" t="s">
        <v>10</v>
      </c>
      <c r="H286" s="18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  <c r="DP286" s="20"/>
      <c r="DQ286" s="20"/>
      <c r="DR286" s="20"/>
      <c r="DS286" s="20"/>
      <c r="DT286" s="20"/>
      <c r="DU286" s="20"/>
      <c r="DV286" s="20"/>
      <c r="DW286" s="20"/>
      <c r="DX286" s="20"/>
      <c r="DY286" s="20"/>
      <c r="DZ286" s="20"/>
      <c r="EA286" s="20"/>
      <c r="EB286" s="20"/>
      <c r="EC286" s="20"/>
      <c r="ED286" s="20"/>
      <c r="EE286" s="20"/>
      <c r="EF286" s="20"/>
      <c r="EG286" s="20"/>
      <c r="EH286" s="20"/>
      <c r="EI286" s="20"/>
      <c r="EJ286" s="20"/>
      <c r="EK286" s="20"/>
      <c r="EL286" s="20"/>
      <c r="EM286" s="20"/>
      <c r="EN286" s="20"/>
      <c r="EO286" s="20"/>
      <c r="EP286" s="20"/>
      <c r="EQ286" s="20"/>
      <c r="ER286" s="20"/>
      <c r="ES286" s="20"/>
      <c r="ET286" s="20"/>
      <c r="EU286" s="20"/>
      <c r="EV286" s="20"/>
      <c r="EW286" s="20"/>
      <c r="EX286" s="20"/>
      <c r="EY286" s="20"/>
      <c r="EZ286" s="20"/>
      <c r="FA286" s="20"/>
      <c r="FB286" s="20"/>
      <c r="FC286" s="20"/>
      <c r="FD286" s="20"/>
      <c r="FE286" s="20"/>
      <c r="FF286" s="20"/>
      <c r="FG286" s="20"/>
      <c r="FH286" s="20"/>
      <c r="FI286" s="20"/>
      <c r="FJ286" s="20"/>
      <c r="FK286" s="20"/>
      <c r="FL286" s="20"/>
      <c r="FM286" s="20"/>
      <c r="FN286" s="20"/>
      <c r="FO286" s="20"/>
      <c r="FP286" s="20"/>
      <c r="FQ286" s="20"/>
      <c r="FR286" s="20"/>
      <c r="FS286" s="20"/>
      <c r="FT286" s="20"/>
      <c r="FU286" s="20"/>
      <c r="FV286" s="20"/>
      <c r="FW286" s="20"/>
      <c r="FX286" s="20"/>
      <c r="FY286" s="20"/>
      <c r="FZ286" s="20"/>
      <c r="GA286" s="20"/>
      <c r="GB286" s="20"/>
      <c r="GC286" s="20"/>
      <c r="GD286" s="20"/>
      <c r="GE286" s="20"/>
      <c r="GF286" s="20"/>
      <c r="GG286" s="20"/>
      <c r="GH286" s="20"/>
      <c r="GI286" s="20"/>
      <c r="GJ286" s="20"/>
      <c r="GK286" s="20"/>
      <c r="GL286" s="20"/>
      <c r="GM286" s="20"/>
      <c r="GN286" s="20"/>
      <c r="GO286" s="20"/>
      <c r="GP286" s="20"/>
      <c r="GQ286" s="20"/>
      <c r="GR286" s="20"/>
      <c r="GS286" s="20"/>
      <c r="GT286" s="21"/>
      <c r="GU286" s="21"/>
      <c r="GV286" s="21"/>
      <c r="GW286" s="21"/>
      <c r="GX286" s="21"/>
      <c r="GY286" s="21"/>
      <c r="GZ286" s="21"/>
      <c r="HA286" s="21"/>
      <c r="HB286" s="21"/>
      <c r="HC286" s="21"/>
      <c r="HD286" s="21"/>
      <c r="HE286" s="21"/>
      <c r="HF286" s="21"/>
      <c r="HG286" s="21"/>
      <c r="HH286" s="21"/>
      <c r="HI286" s="21"/>
      <c r="HJ286" s="21"/>
      <c r="HK286" s="21"/>
      <c r="HL286" s="21"/>
      <c r="HM286" s="21"/>
      <c r="HN286" s="21"/>
      <c r="HO286" s="21"/>
      <c r="HP286" s="21"/>
      <c r="HQ286" s="21"/>
      <c r="HR286" s="21"/>
      <c r="HS286" s="21"/>
      <c r="HT286" s="21"/>
      <c r="HU286" s="21"/>
      <c r="HV286" s="21"/>
      <c r="HW286" s="21"/>
      <c r="HX286" s="21"/>
      <c r="HY286" s="21"/>
      <c r="HZ286" s="21"/>
      <c r="IA286" s="21"/>
      <c r="IB286" s="21"/>
      <c r="IC286" s="21"/>
      <c r="ID286" s="21"/>
      <c r="IE286" s="21"/>
      <c r="IF286" s="21"/>
      <c r="IG286" s="21"/>
      <c r="IH286" s="21"/>
      <c r="II286" s="21"/>
      <c r="IJ286" s="21"/>
      <c r="IK286" s="21"/>
      <c r="IL286" s="21"/>
      <c r="IM286" s="21"/>
      <c r="IN286" s="21"/>
      <c r="IO286" s="21"/>
      <c r="IP286" s="21"/>
      <c r="IQ286" s="21"/>
      <c r="IR286" s="21"/>
      <c r="IS286" s="21"/>
      <c r="IT286" s="21"/>
    </row>
    <row r="287" spans="1:254" s="3" customFormat="1" ht="27" customHeight="1">
      <c r="A287" s="11">
        <v>285</v>
      </c>
      <c r="B287" s="13" t="str">
        <f>"李宾深"</f>
        <v>李宾深</v>
      </c>
      <c r="C287" s="13" t="s">
        <v>18</v>
      </c>
      <c r="D287" s="13" t="str">
        <f>"230702201129"</f>
        <v>230702201129</v>
      </c>
      <c r="E287" s="18">
        <v>66.15</v>
      </c>
      <c r="F287" s="19" t="s">
        <v>10</v>
      </c>
      <c r="G287" s="19" t="s">
        <v>10</v>
      </c>
      <c r="H287" s="18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  <c r="DP287" s="20"/>
      <c r="DQ287" s="20"/>
      <c r="DR287" s="20"/>
      <c r="DS287" s="20"/>
      <c r="DT287" s="20"/>
      <c r="DU287" s="20"/>
      <c r="DV287" s="20"/>
      <c r="DW287" s="20"/>
      <c r="DX287" s="20"/>
      <c r="DY287" s="20"/>
      <c r="DZ287" s="20"/>
      <c r="EA287" s="20"/>
      <c r="EB287" s="20"/>
      <c r="EC287" s="20"/>
      <c r="ED287" s="20"/>
      <c r="EE287" s="20"/>
      <c r="EF287" s="20"/>
      <c r="EG287" s="20"/>
      <c r="EH287" s="20"/>
      <c r="EI287" s="20"/>
      <c r="EJ287" s="20"/>
      <c r="EK287" s="20"/>
      <c r="EL287" s="20"/>
      <c r="EM287" s="20"/>
      <c r="EN287" s="20"/>
      <c r="EO287" s="20"/>
      <c r="EP287" s="20"/>
      <c r="EQ287" s="20"/>
      <c r="ER287" s="20"/>
      <c r="ES287" s="20"/>
      <c r="ET287" s="20"/>
      <c r="EU287" s="20"/>
      <c r="EV287" s="20"/>
      <c r="EW287" s="20"/>
      <c r="EX287" s="20"/>
      <c r="EY287" s="20"/>
      <c r="EZ287" s="20"/>
      <c r="FA287" s="20"/>
      <c r="FB287" s="20"/>
      <c r="FC287" s="20"/>
      <c r="FD287" s="20"/>
      <c r="FE287" s="20"/>
      <c r="FF287" s="20"/>
      <c r="FG287" s="20"/>
      <c r="FH287" s="20"/>
      <c r="FI287" s="20"/>
      <c r="FJ287" s="20"/>
      <c r="FK287" s="20"/>
      <c r="FL287" s="20"/>
      <c r="FM287" s="20"/>
      <c r="FN287" s="20"/>
      <c r="FO287" s="20"/>
      <c r="FP287" s="20"/>
      <c r="FQ287" s="20"/>
      <c r="FR287" s="20"/>
      <c r="FS287" s="20"/>
      <c r="FT287" s="20"/>
      <c r="FU287" s="20"/>
      <c r="FV287" s="20"/>
      <c r="FW287" s="20"/>
      <c r="FX287" s="20"/>
      <c r="FY287" s="20"/>
      <c r="FZ287" s="20"/>
      <c r="GA287" s="20"/>
      <c r="GB287" s="20"/>
      <c r="GC287" s="20"/>
      <c r="GD287" s="20"/>
      <c r="GE287" s="20"/>
      <c r="GF287" s="20"/>
      <c r="GG287" s="20"/>
      <c r="GH287" s="20"/>
      <c r="GI287" s="20"/>
      <c r="GJ287" s="20"/>
      <c r="GK287" s="20"/>
      <c r="GL287" s="20"/>
      <c r="GM287" s="20"/>
      <c r="GN287" s="20"/>
      <c r="GO287" s="20"/>
      <c r="GP287" s="20"/>
      <c r="GQ287" s="20"/>
      <c r="GR287" s="20"/>
      <c r="GS287" s="20"/>
      <c r="GT287" s="21"/>
      <c r="GU287" s="21"/>
      <c r="GV287" s="21"/>
      <c r="GW287" s="21"/>
      <c r="GX287" s="21"/>
      <c r="GY287" s="21"/>
      <c r="GZ287" s="21"/>
      <c r="HA287" s="21"/>
      <c r="HB287" s="21"/>
      <c r="HC287" s="21"/>
      <c r="HD287" s="21"/>
      <c r="HE287" s="21"/>
      <c r="HF287" s="21"/>
      <c r="HG287" s="21"/>
      <c r="HH287" s="21"/>
      <c r="HI287" s="21"/>
      <c r="HJ287" s="21"/>
      <c r="HK287" s="21"/>
      <c r="HL287" s="21"/>
      <c r="HM287" s="21"/>
      <c r="HN287" s="21"/>
      <c r="HO287" s="21"/>
      <c r="HP287" s="21"/>
      <c r="HQ287" s="21"/>
      <c r="HR287" s="21"/>
      <c r="HS287" s="21"/>
      <c r="HT287" s="21"/>
      <c r="HU287" s="21"/>
      <c r="HV287" s="21"/>
      <c r="HW287" s="21"/>
      <c r="HX287" s="21"/>
      <c r="HY287" s="21"/>
      <c r="HZ287" s="21"/>
      <c r="IA287" s="21"/>
      <c r="IB287" s="21"/>
      <c r="IC287" s="21"/>
      <c r="ID287" s="21"/>
      <c r="IE287" s="21"/>
      <c r="IF287" s="21"/>
      <c r="IG287" s="21"/>
      <c r="IH287" s="21"/>
      <c r="II287" s="21"/>
      <c r="IJ287" s="21"/>
      <c r="IK287" s="21"/>
      <c r="IL287" s="21"/>
      <c r="IM287" s="21"/>
      <c r="IN287" s="21"/>
      <c r="IO287" s="21"/>
      <c r="IP287" s="21"/>
      <c r="IQ287" s="21"/>
      <c r="IR287" s="21"/>
      <c r="IS287" s="21"/>
      <c r="IT287" s="21"/>
    </row>
    <row r="288" spans="1:254" s="3" customFormat="1" ht="27" customHeight="1">
      <c r="A288" s="11">
        <v>286</v>
      </c>
      <c r="B288" s="13" t="str">
        <f>"符智森"</f>
        <v>符智森</v>
      </c>
      <c r="C288" s="13" t="s">
        <v>18</v>
      </c>
      <c r="D288" s="13" t="str">
        <f>"230702201117"</f>
        <v>230702201117</v>
      </c>
      <c r="E288" s="18">
        <v>64.735</v>
      </c>
      <c r="F288" s="19" t="s">
        <v>10</v>
      </c>
      <c r="G288" s="19" t="s">
        <v>10</v>
      </c>
      <c r="H288" s="18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  <c r="DP288" s="20"/>
      <c r="DQ288" s="20"/>
      <c r="DR288" s="20"/>
      <c r="DS288" s="20"/>
      <c r="DT288" s="20"/>
      <c r="DU288" s="20"/>
      <c r="DV288" s="20"/>
      <c r="DW288" s="20"/>
      <c r="DX288" s="20"/>
      <c r="DY288" s="20"/>
      <c r="DZ288" s="20"/>
      <c r="EA288" s="20"/>
      <c r="EB288" s="20"/>
      <c r="EC288" s="20"/>
      <c r="ED288" s="20"/>
      <c r="EE288" s="20"/>
      <c r="EF288" s="20"/>
      <c r="EG288" s="20"/>
      <c r="EH288" s="20"/>
      <c r="EI288" s="20"/>
      <c r="EJ288" s="20"/>
      <c r="EK288" s="20"/>
      <c r="EL288" s="20"/>
      <c r="EM288" s="20"/>
      <c r="EN288" s="20"/>
      <c r="EO288" s="20"/>
      <c r="EP288" s="20"/>
      <c r="EQ288" s="20"/>
      <c r="ER288" s="20"/>
      <c r="ES288" s="20"/>
      <c r="ET288" s="20"/>
      <c r="EU288" s="20"/>
      <c r="EV288" s="20"/>
      <c r="EW288" s="20"/>
      <c r="EX288" s="20"/>
      <c r="EY288" s="20"/>
      <c r="EZ288" s="20"/>
      <c r="FA288" s="20"/>
      <c r="FB288" s="20"/>
      <c r="FC288" s="20"/>
      <c r="FD288" s="20"/>
      <c r="FE288" s="20"/>
      <c r="FF288" s="20"/>
      <c r="FG288" s="20"/>
      <c r="FH288" s="20"/>
      <c r="FI288" s="20"/>
      <c r="FJ288" s="20"/>
      <c r="FK288" s="20"/>
      <c r="FL288" s="20"/>
      <c r="FM288" s="20"/>
      <c r="FN288" s="20"/>
      <c r="FO288" s="20"/>
      <c r="FP288" s="20"/>
      <c r="FQ288" s="20"/>
      <c r="FR288" s="20"/>
      <c r="FS288" s="20"/>
      <c r="FT288" s="20"/>
      <c r="FU288" s="20"/>
      <c r="FV288" s="20"/>
      <c r="FW288" s="20"/>
      <c r="FX288" s="20"/>
      <c r="FY288" s="20"/>
      <c r="FZ288" s="20"/>
      <c r="GA288" s="20"/>
      <c r="GB288" s="20"/>
      <c r="GC288" s="20"/>
      <c r="GD288" s="20"/>
      <c r="GE288" s="20"/>
      <c r="GF288" s="20"/>
      <c r="GG288" s="20"/>
      <c r="GH288" s="20"/>
      <c r="GI288" s="20"/>
      <c r="GJ288" s="20"/>
      <c r="GK288" s="20"/>
      <c r="GL288" s="20"/>
      <c r="GM288" s="20"/>
      <c r="GN288" s="20"/>
      <c r="GO288" s="20"/>
      <c r="GP288" s="20"/>
      <c r="GQ288" s="20"/>
      <c r="GR288" s="20"/>
      <c r="GS288" s="20"/>
      <c r="GT288" s="21"/>
      <c r="GU288" s="21"/>
      <c r="GV288" s="21"/>
      <c r="GW288" s="21"/>
      <c r="GX288" s="21"/>
      <c r="GY288" s="21"/>
      <c r="GZ288" s="21"/>
      <c r="HA288" s="21"/>
      <c r="HB288" s="21"/>
      <c r="HC288" s="21"/>
      <c r="HD288" s="21"/>
      <c r="HE288" s="21"/>
      <c r="HF288" s="21"/>
      <c r="HG288" s="21"/>
      <c r="HH288" s="21"/>
      <c r="HI288" s="21"/>
      <c r="HJ288" s="21"/>
      <c r="HK288" s="21"/>
      <c r="HL288" s="21"/>
      <c r="HM288" s="21"/>
      <c r="HN288" s="21"/>
      <c r="HO288" s="21"/>
      <c r="HP288" s="21"/>
      <c r="HQ288" s="21"/>
      <c r="HR288" s="21"/>
      <c r="HS288" s="21"/>
      <c r="HT288" s="21"/>
      <c r="HU288" s="21"/>
      <c r="HV288" s="21"/>
      <c r="HW288" s="21"/>
      <c r="HX288" s="21"/>
      <c r="HY288" s="21"/>
      <c r="HZ288" s="21"/>
      <c r="IA288" s="21"/>
      <c r="IB288" s="21"/>
      <c r="IC288" s="21"/>
      <c r="ID288" s="21"/>
      <c r="IE288" s="21"/>
      <c r="IF288" s="21"/>
      <c r="IG288" s="21"/>
      <c r="IH288" s="21"/>
      <c r="II288" s="21"/>
      <c r="IJ288" s="21"/>
      <c r="IK288" s="21"/>
      <c r="IL288" s="21"/>
      <c r="IM288" s="21"/>
      <c r="IN288" s="21"/>
      <c r="IO288" s="21"/>
      <c r="IP288" s="21"/>
      <c r="IQ288" s="21"/>
      <c r="IR288" s="21"/>
      <c r="IS288" s="21"/>
      <c r="IT288" s="21"/>
    </row>
    <row r="289" spans="1:254" s="3" customFormat="1" ht="27" customHeight="1">
      <c r="A289" s="11">
        <v>287</v>
      </c>
      <c r="B289" s="13" t="str">
        <f>"陈仲宁"</f>
        <v>陈仲宁</v>
      </c>
      <c r="C289" s="13" t="s">
        <v>18</v>
      </c>
      <c r="D289" s="13" t="str">
        <f>"230702201222"</f>
        <v>230702201222</v>
      </c>
      <c r="E289" s="18">
        <v>63.115</v>
      </c>
      <c r="F289" s="19" t="s">
        <v>10</v>
      </c>
      <c r="G289" s="19" t="s">
        <v>10</v>
      </c>
      <c r="H289" s="18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  <c r="DP289" s="20"/>
      <c r="DQ289" s="20"/>
      <c r="DR289" s="20"/>
      <c r="DS289" s="20"/>
      <c r="DT289" s="20"/>
      <c r="DU289" s="20"/>
      <c r="DV289" s="20"/>
      <c r="DW289" s="20"/>
      <c r="DX289" s="20"/>
      <c r="DY289" s="20"/>
      <c r="DZ289" s="20"/>
      <c r="EA289" s="20"/>
      <c r="EB289" s="20"/>
      <c r="EC289" s="20"/>
      <c r="ED289" s="20"/>
      <c r="EE289" s="20"/>
      <c r="EF289" s="20"/>
      <c r="EG289" s="20"/>
      <c r="EH289" s="20"/>
      <c r="EI289" s="20"/>
      <c r="EJ289" s="20"/>
      <c r="EK289" s="20"/>
      <c r="EL289" s="20"/>
      <c r="EM289" s="20"/>
      <c r="EN289" s="20"/>
      <c r="EO289" s="20"/>
      <c r="EP289" s="20"/>
      <c r="EQ289" s="20"/>
      <c r="ER289" s="20"/>
      <c r="ES289" s="20"/>
      <c r="ET289" s="20"/>
      <c r="EU289" s="20"/>
      <c r="EV289" s="20"/>
      <c r="EW289" s="20"/>
      <c r="EX289" s="20"/>
      <c r="EY289" s="20"/>
      <c r="EZ289" s="20"/>
      <c r="FA289" s="20"/>
      <c r="FB289" s="20"/>
      <c r="FC289" s="20"/>
      <c r="FD289" s="20"/>
      <c r="FE289" s="20"/>
      <c r="FF289" s="20"/>
      <c r="FG289" s="20"/>
      <c r="FH289" s="20"/>
      <c r="FI289" s="20"/>
      <c r="FJ289" s="20"/>
      <c r="FK289" s="20"/>
      <c r="FL289" s="20"/>
      <c r="FM289" s="20"/>
      <c r="FN289" s="20"/>
      <c r="FO289" s="20"/>
      <c r="FP289" s="20"/>
      <c r="FQ289" s="20"/>
      <c r="FR289" s="20"/>
      <c r="FS289" s="20"/>
      <c r="FT289" s="20"/>
      <c r="FU289" s="20"/>
      <c r="FV289" s="20"/>
      <c r="FW289" s="20"/>
      <c r="FX289" s="20"/>
      <c r="FY289" s="20"/>
      <c r="FZ289" s="20"/>
      <c r="GA289" s="20"/>
      <c r="GB289" s="20"/>
      <c r="GC289" s="20"/>
      <c r="GD289" s="20"/>
      <c r="GE289" s="20"/>
      <c r="GF289" s="20"/>
      <c r="GG289" s="20"/>
      <c r="GH289" s="20"/>
      <c r="GI289" s="20"/>
      <c r="GJ289" s="20"/>
      <c r="GK289" s="20"/>
      <c r="GL289" s="20"/>
      <c r="GM289" s="20"/>
      <c r="GN289" s="20"/>
      <c r="GO289" s="20"/>
      <c r="GP289" s="20"/>
      <c r="GQ289" s="20"/>
      <c r="GR289" s="20"/>
      <c r="GS289" s="20"/>
      <c r="GT289" s="21"/>
      <c r="GU289" s="21"/>
      <c r="GV289" s="21"/>
      <c r="GW289" s="21"/>
      <c r="GX289" s="21"/>
      <c r="GY289" s="21"/>
      <c r="GZ289" s="21"/>
      <c r="HA289" s="21"/>
      <c r="HB289" s="21"/>
      <c r="HC289" s="21"/>
      <c r="HD289" s="21"/>
      <c r="HE289" s="21"/>
      <c r="HF289" s="21"/>
      <c r="HG289" s="21"/>
      <c r="HH289" s="21"/>
      <c r="HI289" s="21"/>
      <c r="HJ289" s="21"/>
      <c r="HK289" s="21"/>
      <c r="HL289" s="21"/>
      <c r="HM289" s="21"/>
      <c r="HN289" s="21"/>
      <c r="HO289" s="21"/>
      <c r="HP289" s="21"/>
      <c r="HQ289" s="21"/>
      <c r="HR289" s="21"/>
      <c r="HS289" s="21"/>
      <c r="HT289" s="21"/>
      <c r="HU289" s="21"/>
      <c r="HV289" s="21"/>
      <c r="HW289" s="21"/>
      <c r="HX289" s="21"/>
      <c r="HY289" s="21"/>
      <c r="HZ289" s="21"/>
      <c r="IA289" s="21"/>
      <c r="IB289" s="21"/>
      <c r="IC289" s="21"/>
      <c r="ID289" s="21"/>
      <c r="IE289" s="21"/>
      <c r="IF289" s="21"/>
      <c r="IG289" s="21"/>
      <c r="IH289" s="21"/>
      <c r="II289" s="21"/>
      <c r="IJ289" s="21"/>
      <c r="IK289" s="21"/>
      <c r="IL289" s="21"/>
      <c r="IM289" s="21"/>
      <c r="IN289" s="21"/>
      <c r="IO289" s="21"/>
      <c r="IP289" s="21"/>
      <c r="IQ289" s="21"/>
      <c r="IR289" s="21"/>
      <c r="IS289" s="21"/>
      <c r="IT289" s="21"/>
    </row>
    <row r="290" spans="1:254" s="3" customFormat="1" ht="27" customHeight="1">
      <c r="A290" s="11">
        <v>288</v>
      </c>
      <c r="B290" s="13" t="str">
        <f>"温世才"</f>
        <v>温世才</v>
      </c>
      <c r="C290" s="13" t="s">
        <v>18</v>
      </c>
      <c r="D290" s="13" t="str">
        <f>"230702201322"</f>
        <v>230702201322</v>
      </c>
      <c r="E290" s="18">
        <v>62.84</v>
      </c>
      <c r="F290" s="19" t="s">
        <v>10</v>
      </c>
      <c r="G290" s="19" t="s">
        <v>10</v>
      </c>
      <c r="H290" s="18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  <c r="DP290" s="20"/>
      <c r="DQ290" s="20"/>
      <c r="DR290" s="20"/>
      <c r="DS290" s="20"/>
      <c r="DT290" s="20"/>
      <c r="DU290" s="20"/>
      <c r="DV290" s="20"/>
      <c r="DW290" s="20"/>
      <c r="DX290" s="20"/>
      <c r="DY290" s="20"/>
      <c r="DZ290" s="20"/>
      <c r="EA290" s="20"/>
      <c r="EB290" s="20"/>
      <c r="EC290" s="20"/>
      <c r="ED290" s="20"/>
      <c r="EE290" s="20"/>
      <c r="EF290" s="20"/>
      <c r="EG290" s="20"/>
      <c r="EH290" s="20"/>
      <c r="EI290" s="20"/>
      <c r="EJ290" s="20"/>
      <c r="EK290" s="20"/>
      <c r="EL290" s="20"/>
      <c r="EM290" s="20"/>
      <c r="EN290" s="20"/>
      <c r="EO290" s="20"/>
      <c r="EP290" s="20"/>
      <c r="EQ290" s="20"/>
      <c r="ER290" s="20"/>
      <c r="ES290" s="20"/>
      <c r="ET290" s="20"/>
      <c r="EU290" s="20"/>
      <c r="EV290" s="20"/>
      <c r="EW290" s="20"/>
      <c r="EX290" s="20"/>
      <c r="EY290" s="20"/>
      <c r="EZ290" s="20"/>
      <c r="FA290" s="20"/>
      <c r="FB290" s="20"/>
      <c r="FC290" s="20"/>
      <c r="FD290" s="20"/>
      <c r="FE290" s="20"/>
      <c r="FF290" s="20"/>
      <c r="FG290" s="20"/>
      <c r="FH290" s="20"/>
      <c r="FI290" s="20"/>
      <c r="FJ290" s="20"/>
      <c r="FK290" s="20"/>
      <c r="FL290" s="20"/>
      <c r="FM290" s="20"/>
      <c r="FN290" s="20"/>
      <c r="FO290" s="20"/>
      <c r="FP290" s="20"/>
      <c r="FQ290" s="20"/>
      <c r="FR290" s="20"/>
      <c r="FS290" s="20"/>
      <c r="FT290" s="20"/>
      <c r="FU290" s="20"/>
      <c r="FV290" s="20"/>
      <c r="FW290" s="20"/>
      <c r="FX290" s="20"/>
      <c r="FY290" s="20"/>
      <c r="FZ290" s="20"/>
      <c r="GA290" s="20"/>
      <c r="GB290" s="20"/>
      <c r="GC290" s="20"/>
      <c r="GD290" s="20"/>
      <c r="GE290" s="20"/>
      <c r="GF290" s="20"/>
      <c r="GG290" s="20"/>
      <c r="GH290" s="20"/>
      <c r="GI290" s="20"/>
      <c r="GJ290" s="20"/>
      <c r="GK290" s="20"/>
      <c r="GL290" s="20"/>
      <c r="GM290" s="20"/>
      <c r="GN290" s="20"/>
      <c r="GO290" s="20"/>
      <c r="GP290" s="20"/>
      <c r="GQ290" s="20"/>
      <c r="GR290" s="20"/>
      <c r="GS290" s="20"/>
      <c r="GT290" s="21"/>
      <c r="GU290" s="21"/>
      <c r="GV290" s="21"/>
      <c r="GW290" s="21"/>
      <c r="GX290" s="21"/>
      <c r="GY290" s="21"/>
      <c r="GZ290" s="21"/>
      <c r="HA290" s="21"/>
      <c r="HB290" s="21"/>
      <c r="HC290" s="21"/>
      <c r="HD290" s="21"/>
      <c r="HE290" s="21"/>
      <c r="HF290" s="21"/>
      <c r="HG290" s="21"/>
      <c r="HH290" s="21"/>
      <c r="HI290" s="21"/>
      <c r="HJ290" s="21"/>
      <c r="HK290" s="21"/>
      <c r="HL290" s="21"/>
      <c r="HM290" s="21"/>
      <c r="HN290" s="21"/>
      <c r="HO290" s="21"/>
      <c r="HP290" s="21"/>
      <c r="HQ290" s="21"/>
      <c r="HR290" s="21"/>
      <c r="HS290" s="21"/>
      <c r="HT290" s="21"/>
      <c r="HU290" s="21"/>
      <c r="HV290" s="21"/>
      <c r="HW290" s="21"/>
      <c r="HX290" s="21"/>
      <c r="HY290" s="21"/>
      <c r="HZ290" s="21"/>
      <c r="IA290" s="21"/>
      <c r="IB290" s="21"/>
      <c r="IC290" s="21"/>
      <c r="ID290" s="21"/>
      <c r="IE290" s="21"/>
      <c r="IF290" s="21"/>
      <c r="IG290" s="21"/>
      <c r="IH290" s="21"/>
      <c r="II290" s="21"/>
      <c r="IJ290" s="21"/>
      <c r="IK290" s="21"/>
      <c r="IL290" s="21"/>
      <c r="IM290" s="21"/>
      <c r="IN290" s="21"/>
      <c r="IO290" s="21"/>
      <c r="IP290" s="21"/>
      <c r="IQ290" s="21"/>
      <c r="IR290" s="21"/>
      <c r="IS290" s="21"/>
      <c r="IT290" s="21"/>
    </row>
    <row r="291" spans="1:254" s="3" customFormat="1" ht="27" customHeight="1">
      <c r="A291" s="11">
        <v>289</v>
      </c>
      <c r="B291" s="13" t="str">
        <f>"肖祚清"</f>
        <v>肖祚清</v>
      </c>
      <c r="C291" s="13" t="s">
        <v>18</v>
      </c>
      <c r="D291" s="13" t="str">
        <f>"230702201102"</f>
        <v>230702201102</v>
      </c>
      <c r="E291" s="18">
        <v>62.745</v>
      </c>
      <c r="F291" s="19" t="s">
        <v>10</v>
      </c>
      <c r="G291" s="19" t="s">
        <v>10</v>
      </c>
      <c r="H291" s="18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  <c r="DP291" s="20"/>
      <c r="DQ291" s="20"/>
      <c r="DR291" s="20"/>
      <c r="DS291" s="20"/>
      <c r="DT291" s="20"/>
      <c r="DU291" s="20"/>
      <c r="DV291" s="20"/>
      <c r="DW291" s="20"/>
      <c r="DX291" s="20"/>
      <c r="DY291" s="20"/>
      <c r="DZ291" s="20"/>
      <c r="EA291" s="20"/>
      <c r="EB291" s="20"/>
      <c r="EC291" s="20"/>
      <c r="ED291" s="20"/>
      <c r="EE291" s="20"/>
      <c r="EF291" s="20"/>
      <c r="EG291" s="20"/>
      <c r="EH291" s="20"/>
      <c r="EI291" s="20"/>
      <c r="EJ291" s="20"/>
      <c r="EK291" s="20"/>
      <c r="EL291" s="20"/>
      <c r="EM291" s="20"/>
      <c r="EN291" s="20"/>
      <c r="EO291" s="20"/>
      <c r="EP291" s="20"/>
      <c r="EQ291" s="20"/>
      <c r="ER291" s="20"/>
      <c r="ES291" s="20"/>
      <c r="ET291" s="20"/>
      <c r="EU291" s="20"/>
      <c r="EV291" s="20"/>
      <c r="EW291" s="20"/>
      <c r="EX291" s="20"/>
      <c r="EY291" s="20"/>
      <c r="EZ291" s="20"/>
      <c r="FA291" s="20"/>
      <c r="FB291" s="20"/>
      <c r="FC291" s="20"/>
      <c r="FD291" s="20"/>
      <c r="FE291" s="20"/>
      <c r="FF291" s="20"/>
      <c r="FG291" s="20"/>
      <c r="FH291" s="20"/>
      <c r="FI291" s="20"/>
      <c r="FJ291" s="20"/>
      <c r="FK291" s="20"/>
      <c r="FL291" s="20"/>
      <c r="FM291" s="20"/>
      <c r="FN291" s="20"/>
      <c r="FO291" s="20"/>
      <c r="FP291" s="20"/>
      <c r="FQ291" s="20"/>
      <c r="FR291" s="20"/>
      <c r="FS291" s="20"/>
      <c r="FT291" s="20"/>
      <c r="FU291" s="20"/>
      <c r="FV291" s="20"/>
      <c r="FW291" s="20"/>
      <c r="FX291" s="20"/>
      <c r="FY291" s="20"/>
      <c r="FZ291" s="20"/>
      <c r="GA291" s="20"/>
      <c r="GB291" s="20"/>
      <c r="GC291" s="20"/>
      <c r="GD291" s="20"/>
      <c r="GE291" s="20"/>
      <c r="GF291" s="20"/>
      <c r="GG291" s="20"/>
      <c r="GH291" s="20"/>
      <c r="GI291" s="20"/>
      <c r="GJ291" s="20"/>
      <c r="GK291" s="20"/>
      <c r="GL291" s="20"/>
      <c r="GM291" s="20"/>
      <c r="GN291" s="20"/>
      <c r="GO291" s="20"/>
      <c r="GP291" s="20"/>
      <c r="GQ291" s="20"/>
      <c r="GR291" s="20"/>
      <c r="GS291" s="20"/>
      <c r="GT291" s="21"/>
      <c r="GU291" s="21"/>
      <c r="GV291" s="21"/>
      <c r="GW291" s="21"/>
      <c r="GX291" s="21"/>
      <c r="GY291" s="21"/>
      <c r="GZ291" s="21"/>
      <c r="HA291" s="21"/>
      <c r="HB291" s="21"/>
      <c r="HC291" s="21"/>
      <c r="HD291" s="21"/>
      <c r="HE291" s="21"/>
      <c r="HF291" s="21"/>
      <c r="HG291" s="21"/>
      <c r="HH291" s="21"/>
      <c r="HI291" s="21"/>
      <c r="HJ291" s="21"/>
      <c r="HK291" s="21"/>
      <c r="HL291" s="21"/>
      <c r="HM291" s="21"/>
      <c r="HN291" s="21"/>
      <c r="HO291" s="21"/>
      <c r="HP291" s="21"/>
      <c r="HQ291" s="21"/>
      <c r="HR291" s="21"/>
      <c r="HS291" s="21"/>
      <c r="HT291" s="21"/>
      <c r="HU291" s="21"/>
      <c r="HV291" s="21"/>
      <c r="HW291" s="21"/>
      <c r="HX291" s="21"/>
      <c r="HY291" s="21"/>
      <c r="HZ291" s="21"/>
      <c r="IA291" s="21"/>
      <c r="IB291" s="21"/>
      <c r="IC291" s="21"/>
      <c r="ID291" s="21"/>
      <c r="IE291" s="21"/>
      <c r="IF291" s="21"/>
      <c r="IG291" s="21"/>
      <c r="IH291" s="21"/>
      <c r="II291" s="21"/>
      <c r="IJ291" s="21"/>
      <c r="IK291" s="21"/>
      <c r="IL291" s="21"/>
      <c r="IM291" s="21"/>
      <c r="IN291" s="21"/>
      <c r="IO291" s="21"/>
      <c r="IP291" s="21"/>
      <c r="IQ291" s="21"/>
      <c r="IR291" s="21"/>
      <c r="IS291" s="21"/>
      <c r="IT291" s="21"/>
    </row>
    <row r="292" spans="1:254" s="3" customFormat="1" ht="27" customHeight="1">
      <c r="A292" s="11">
        <v>290</v>
      </c>
      <c r="B292" s="13" t="str">
        <f>"吕惠献"</f>
        <v>吕惠献</v>
      </c>
      <c r="C292" s="13" t="s">
        <v>18</v>
      </c>
      <c r="D292" s="13" t="str">
        <f>"230702201311"</f>
        <v>230702201311</v>
      </c>
      <c r="E292" s="18">
        <v>62.05</v>
      </c>
      <c r="F292" s="19" t="s">
        <v>10</v>
      </c>
      <c r="G292" s="19" t="s">
        <v>10</v>
      </c>
      <c r="H292" s="18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  <c r="DP292" s="20"/>
      <c r="DQ292" s="20"/>
      <c r="DR292" s="20"/>
      <c r="DS292" s="20"/>
      <c r="DT292" s="20"/>
      <c r="DU292" s="20"/>
      <c r="DV292" s="20"/>
      <c r="DW292" s="20"/>
      <c r="DX292" s="20"/>
      <c r="DY292" s="20"/>
      <c r="DZ292" s="20"/>
      <c r="EA292" s="20"/>
      <c r="EB292" s="20"/>
      <c r="EC292" s="20"/>
      <c r="ED292" s="20"/>
      <c r="EE292" s="20"/>
      <c r="EF292" s="20"/>
      <c r="EG292" s="20"/>
      <c r="EH292" s="20"/>
      <c r="EI292" s="20"/>
      <c r="EJ292" s="20"/>
      <c r="EK292" s="20"/>
      <c r="EL292" s="20"/>
      <c r="EM292" s="20"/>
      <c r="EN292" s="20"/>
      <c r="EO292" s="20"/>
      <c r="EP292" s="20"/>
      <c r="EQ292" s="20"/>
      <c r="ER292" s="20"/>
      <c r="ES292" s="20"/>
      <c r="ET292" s="20"/>
      <c r="EU292" s="20"/>
      <c r="EV292" s="20"/>
      <c r="EW292" s="20"/>
      <c r="EX292" s="20"/>
      <c r="EY292" s="20"/>
      <c r="EZ292" s="20"/>
      <c r="FA292" s="20"/>
      <c r="FB292" s="20"/>
      <c r="FC292" s="20"/>
      <c r="FD292" s="20"/>
      <c r="FE292" s="20"/>
      <c r="FF292" s="20"/>
      <c r="FG292" s="20"/>
      <c r="FH292" s="20"/>
      <c r="FI292" s="20"/>
      <c r="FJ292" s="20"/>
      <c r="FK292" s="20"/>
      <c r="FL292" s="20"/>
      <c r="FM292" s="20"/>
      <c r="FN292" s="20"/>
      <c r="FO292" s="20"/>
      <c r="FP292" s="20"/>
      <c r="FQ292" s="20"/>
      <c r="FR292" s="20"/>
      <c r="FS292" s="20"/>
      <c r="FT292" s="20"/>
      <c r="FU292" s="20"/>
      <c r="FV292" s="20"/>
      <c r="FW292" s="20"/>
      <c r="FX292" s="20"/>
      <c r="FY292" s="20"/>
      <c r="FZ292" s="20"/>
      <c r="GA292" s="20"/>
      <c r="GB292" s="20"/>
      <c r="GC292" s="20"/>
      <c r="GD292" s="20"/>
      <c r="GE292" s="20"/>
      <c r="GF292" s="20"/>
      <c r="GG292" s="20"/>
      <c r="GH292" s="20"/>
      <c r="GI292" s="20"/>
      <c r="GJ292" s="20"/>
      <c r="GK292" s="20"/>
      <c r="GL292" s="20"/>
      <c r="GM292" s="20"/>
      <c r="GN292" s="20"/>
      <c r="GO292" s="20"/>
      <c r="GP292" s="20"/>
      <c r="GQ292" s="20"/>
      <c r="GR292" s="20"/>
      <c r="GS292" s="20"/>
      <c r="GT292" s="21"/>
      <c r="GU292" s="21"/>
      <c r="GV292" s="21"/>
      <c r="GW292" s="21"/>
      <c r="GX292" s="21"/>
      <c r="GY292" s="21"/>
      <c r="GZ292" s="21"/>
      <c r="HA292" s="21"/>
      <c r="HB292" s="21"/>
      <c r="HC292" s="21"/>
      <c r="HD292" s="21"/>
      <c r="HE292" s="21"/>
      <c r="HF292" s="21"/>
      <c r="HG292" s="21"/>
      <c r="HH292" s="21"/>
      <c r="HI292" s="21"/>
      <c r="HJ292" s="21"/>
      <c r="HK292" s="21"/>
      <c r="HL292" s="21"/>
      <c r="HM292" s="21"/>
      <c r="HN292" s="21"/>
      <c r="HO292" s="21"/>
      <c r="HP292" s="21"/>
      <c r="HQ292" s="21"/>
      <c r="HR292" s="21"/>
      <c r="HS292" s="21"/>
      <c r="HT292" s="21"/>
      <c r="HU292" s="21"/>
      <c r="HV292" s="21"/>
      <c r="HW292" s="21"/>
      <c r="HX292" s="21"/>
      <c r="HY292" s="21"/>
      <c r="HZ292" s="21"/>
      <c r="IA292" s="21"/>
      <c r="IB292" s="21"/>
      <c r="IC292" s="21"/>
      <c r="ID292" s="21"/>
      <c r="IE292" s="21"/>
      <c r="IF292" s="21"/>
      <c r="IG292" s="21"/>
      <c r="IH292" s="21"/>
      <c r="II292" s="21"/>
      <c r="IJ292" s="21"/>
      <c r="IK292" s="21"/>
      <c r="IL292" s="21"/>
      <c r="IM292" s="21"/>
      <c r="IN292" s="21"/>
      <c r="IO292" s="21"/>
      <c r="IP292" s="21"/>
      <c r="IQ292" s="21"/>
      <c r="IR292" s="21"/>
      <c r="IS292" s="21"/>
      <c r="IT292" s="21"/>
    </row>
    <row r="293" spans="1:254" s="3" customFormat="1" ht="27" customHeight="1">
      <c r="A293" s="11">
        <v>291</v>
      </c>
      <c r="B293" s="13" t="str">
        <f>"庞诗佳"</f>
        <v>庞诗佳</v>
      </c>
      <c r="C293" s="13" t="s">
        <v>18</v>
      </c>
      <c r="D293" s="13" t="str">
        <f>"230702201224"</f>
        <v>230702201224</v>
      </c>
      <c r="E293" s="18">
        <v>61.14</v>
      </c>
      <c r="F293" s="19" t="s">
        <v>10</v>
      </c>
      <c r="G293" s="19" t="s">
        <v>10</v>
      </c>
      <c r="H293" s="18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  <c r="DP293" s="20"/>
      <c r="DQ293" s="20"/>
      <c r="DR293" s="20"/>
      <c r="DS293" s="20"/>
      <c r="DT293" s="20"/>
      <c r="DU293" s="20"/>
      <c r="DV293" s="20"/>
      <c r="DW293" s="20"/>
      <c r="DX293" s="20"/>
      <c r="DY293" s="20"/>
      <c r="DZ293" s="20"/>
      <c r="EA293" s="20"/>
      <c r="EB293" s="20"/>
      <c r="EC293" s="20"/>
      <c r="ED293" s="20"/>
      <c r="EE293" s="20"/>
      <c r="EF293" s="20"/>
      <c r="EG293" s="20"/>
      <c r="EH293" s="20"/>
      <c r="EI293" s="20"/>
      <c r="EJ293" s="20"/>
      <c r="EK293" s="20"/>
      <c r="EL293" s="20"/>
      <c r="EM293" s="20"/>
      <c r="EN293" s="20"/>
      <c r="EO293" s="20"/>
      <c r="EP293" s="20"/>
      <c r="EQ293" s="20"/>
      <c r="ER293" s="20"/>
      <c r="ES293" s="20"/>
      <c r="ET293" s="20"/>
      <c r="EU293" s="20"/>
      <c r="EV293" s="20"/>
      <c r="EW293" s="20"/>
      <c r="EX293" s="20"/>
      <c r="EY293" s="20"/>
      <c r="EZ293" s="20"/>
      <c r="FA293" s="20"/>
      <c r="FB293" s="20"/>
      <c r="FC293" s="20"/>
      <c r="FD293" s="20"/>
      <c r="FE293" s="20"/>
      <c r="FF293" s="20"/>
      <c r="FG293" s="20"/>
      <c r="FH293" s="20"/>
      <c r="FI293" s="20"/>
      <c r="FJ293" s="20"/>
      <c r="FK293" s="20"/>
      <c r="FL293" s="20"/>
      <c r="FM293" s="20"/>
      <c r="FN293" s="20"/>
      <c r="FO293" s="20"/>
      <c r="FP293" s="20"/>
      <c r="FQ293" s="20"/>
      <c r="FR293" s="20"/>
      <c r="FS293" s="20"/>
      <c r="FT293" s="20"/>
      <c r="FU293" s="20"/>
      <c r="FV293" s="20"/>
      <c r="FW293" s="20"/>
      <c r="FX293" s="20"/>
      <c r="FY293" s="20"/>
      <c r="FZ293" s="20"/>
      <c r="GA293" s="20"/>
      <c r="GB293" s="20"/>
      <c r="GC293" s="20"/>
      <c r="GD293" s="20"/>
      <c r="GE293" s="20"/>
      <c r="GF293" s="20"/>
      <c r="GG293" s="20"/>
      <c r="GH293" s="20"/>
      <c r="GI293" s="20"/>
      <c r="GJ293" s="20"/>
      <c r="GK293" s="20"/>
      <c r="GL293" s="20"/>
      <c r="GM293" s="20"/>
      <c r="GN293" s="20"/>
      <c r="GO293" s="20"/>
      <c r="GP293" s="20"/>
      <c r="GQ293" s="20"/>
      <c r="GR293" s="20"/>
      <c r="GS293" s="20"/>
      <c r="GT293" s="21"/>
      <c r="GU293" s="21"/>
      <c r="GV293" s="21"/>
      <c r="GW293" s="21"/>
      <c r="GX293" s="21"/>
      <c r="GY293" s="21"/>
      <c r="GZ293" s="21"/>
      <c r="HA293" s="21"/>
      <c r="HB293" s="21"/>
      <c r="HC293" s="21"/>
      <c r="HD293" s="21"/>
      <c r="HE293" s="21"/>
      <c r="HF293" s="21"/>
      <c r="HG293" s="21"/>
      <c r="HH293" s="21"/>
      <c r="HI293" s="21"/>
      <c r="HJ293" s="21"/>
      <c r="HK293" s="21"/>
      <c r="HL293" s="21"/>
      <c r="HM293" s="21"/>
      <c r="HN293" s="21"/>
      <c r="HO293" s="21"/>
      <c r="HP293" s="21"/>
      <c r="HQ293" s="21"/>
      <c r="HR293" s="21"/>
      <c r="HS293" s="21"/>
      <c r="HT293" s="21"/>
      <c r="HU293" s="21"/>
      <c r="HV293" s="21"/>
      <c r="HW293" s="21"/>
      <c r="HX293" s="21"/>
      <c r="HY293" s="21"/>
      <c r="HZ293" s="21"/>
      <c r="IA293" s="21"/>
      <c r="IB293" s="21"/>
      <c r="IC293" s="21"/>
      <c r="ID293" s="21"/>
      <c r="IE293" s="21"/>
      <c r="IF293" s="21"/>
      <c r="IG293" s="21"/>
      <c r="IH293" s="21"/>
      <c r="II293" s="21"/>
      <c r="IJ293" s="21"/>
      <c r="IK293" s="21"/>
      <c r="IL293" s="21"/>
      <c r="IM293" s="21"/>
      <c r="IN293" s="21"/>
      <c r="IO293" s="21"/>
      <c r="IP293" s="21"/>
      <c r="IQ293" s="21"/>
      <c r="IR293" s="21"/>
      <c r="IS293" s="21"/>
      <c r="IT293" s="21"/>
    </row>
    <row r="294" spans="1:254" s="3" customFormat="1" ht="27" customHeight="1">
      <c r="A294" s="11">
        <v>292</v>
      </c>
      <c r="B294" s="13" t="str">
        <f>"王硕"</f>
        <v>王硕</v>
      </c>
      <c r="C294" s="13" t="s">
        <v>18</v>
      </c>
      <c r="D294" s="13" t="str">
        <f>"230702201307"</f>
        <v>230702201307</v>
      </c>
      <c r="E294" s="18">
        <v>60.65</v>
      </c>
      <c r="F294" s="19" t="s">
        <v>10</v>
      </c>
      <c r="G294" s="19" t="s">
        <v>10</v>
      </c>
      <c r="H294" s="18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  <c r="DP294" s="20"/>
      <c r="DQ294" s="20"/>
      <c r="DR294" s="20"/>
      <c r="DS294" s="20"/>
      <c r="DT294" s="20"/>
      <c r="DU294" s="20"/>
      <c r="DV294" s="20"/>
      <c r="DW294" s="20"/>
      <c r="DX294" s="20"/>
      <c r="DY294" s="20"/>
      <c r="DZ294" s="20"/>
      <c r="EA294" s="20"/>
      <c r="EB294" s="20"/>
      <c r="EC294" s="20"/>
      <c r="ED294" s="20"/>
      <c r="EE294" s="20"/>
      <c r="EF294" s="20"/>
      <c r="EG294" s="20"/>
      <c r="EH294" s="20"/>
      <c r="EI294" s="20"/>
      <c r="EJ294" s="20"/>
      <c r="EK294" s="20"/>
      <c r="EL294" s="20"/>
      <c r="EM294" s="20"/>
      <c r="EN294" s="20"/>
      <c r="EO294" s="20"/>
      <c r="EP294" s="20"/>
      <c r="EQ294" s="20"/>
      <c r="ER294" s="20"/>
      <c r="ES294" s="20"/>
      <c r="ET294" s="20"/>
      <c r="EU294" s="20"/>
      <c r="EV294" s="20"/>
      <c r="EW294" s="20"/>
      <c r="EX294" s="20"/>
      <c r="EY294" s="20"/>
      <c r="EZ294" s="20"/>
      <c r="FA294" s="20"/>
      <c r="FB294" s="20"/>
      <c r="FC294" s="20"/>
      <c r="FD294" s="20"/>
      <c r="FE294" s="20"/>
      <c r="FF294" s="20"/>
      <c r="FG294" s="20"/>
      <c r="FH294" s="20"/>
      <c r="FI294" s="20"/>
      <c r="FJ294" s="20"/>
      <c r="FK294" s="20"/>
      <c r="FL294" s="20"/>
      <c r="FM294" s="20"/>
      <c r="FN294" s="20"/>
      <c r="FO294" s="20"/>
      <c r="FP294" s="20"/>
      <c r="FQ294" s="20"/>
      <c r="FR294" s="20"/>
      <c r="FS294" s="20"/>
      <c r="FT294" s="20"/>
      <c r="FU294" s="20"/>
      <c r="FV294" s="20"/>
      <c r="FW294" s="20"/>
      <c r="FX294" s="20"/>
      <c r="FY294" s="20"/>
      <c r="FZ294" s="20"/>
      <c r="GA294" s="20"/>
      <c r="GB294" s="20"/>
      <c r="GC294" s="20"/>
      <c r="GD294" s="20"/>
      <c r="GE294" s="20"/>
      <c r="GF294" s="20"/>
      <c r="GG294" s="20"/>
      <c r="GH294" s="20"/>
      <c r="GI294" s="20"/>
      <c r="GJ294" s="20"/>
      <c r="GK294" s="20"/>
      <c r="GL294" s="20"/>
      <c r="GM294" s="20"/>
      <c r="GN294" s="20"/>
      <c r="GO294" s="20"/>
      <c r="GP294" s="20"/>
      <c r="GQ294" s="20"/>
      <c r="GR294" s="20"/>
      <c r="GS294" s="20"/>
      <c r="GT294" s="21"/>
      <c r="GU294" s="21"/>
      <c r="GV294" s="21"/>
      <c r="GW294" s="21"/>
      <c r="GX294" s="21"/>
      <c r="GY294" s="21"/>
      <c r="GZ294" s="21"/>
      <c r="HA294" s="21"/>
      <c r="HB294" s="21"/>
      <c r="HC294" s="21"/>
      <c r="HD294" s="21"/>
      <c r="HE294" s="21"/>
      <c r="HF294" s="21"/>
      <c r="HG294" s="21"/>
      <c r="HH294" s="21"/>
      <c r="HI294" s="21"/>
      <c r="HJ294" s="21"/>
      <c r="HK294" s="21"/>
      <c r="HL294" s="21"/>
      <c r="HM294" s="21"/>
      <c r="HN294" s="21"/>
      <c r="HO294" s="21"/>
      <c r="HP294" s="21"/>
      <c r="HQ294" s="21"/>
      <c r="HR294" s="21"/>
      <c r="HS294" s="21"/>
      <c r="HT294" s="21"/>
      <c r="HU294" s="21"/>
      <c r="HV294" s="21"/>
      <c r="HW294" s="21"/>
      <c r="HX294" s="21"/>
      <c r="HY294" s="21"/>
      <c r="HZ294" s="21"/>
      <c r="IA294" s="21"/>
      <c r="IB294" s="21"/>
      <c r="IC294" s="21"/>
      <c r="ID294" s="21"/>
      <c r="IE294" s="21"/>
      <c r="IF294" s="21"/>
      <c r="IG294" s="21"/>
      <c r="IH294" s="21"/>
      <c r="II294" s="21"/>
      <c r="IJ294" s="21"/>
      <c r="IK294" s="21"/>
      <c r="IL294" s="21"/>
      <c r="IM294" s="21"/>
      <c r="IN294" s="21"/>
      <c r="IO294" s="21"/>
      <c r="IP294" s="21"/>
      <c r="IQ294" s="21"/>
      <c r="IR294" s="21"/>
      <c r="IS294" s="21"/>
      <c r="IT294" s="21"/>
    </row>
    <row r="295" spans="1:254" s="3" customFormat="1" ht="27" customHeight="1">
      <c r="A295" s="11">
        <v>293</v>
      </c>
      <c r="B295" s="13" t="str">
        <f>"梁昌荣"</f>
        <v>梁昌荣</v>
      </c>
      <c r="C295" s="13" t="s">
        <v>18</v>
      </c>
      <c r="D295" s="13" t="str">
        <f>"230702201104"</f>
        <v>230702201104</v>
      </c>
      <c r="E295" s="18">
        <v>60.495</v>
      </c>
      <c r="F295" s="19" t="s">
        <v>10</v>
      </c>
      <c r="G295" s="19" t="s">
        <v>10</v>
      </c>
      <c r="H295" s="18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  <c r="DP295" s="20"/>
      <c r="DQ295" s="20"/>
      <c r="DR295" s="20"/>
      <c r="DS295" s="20"/>
      <c r="DT295" s="20"/>
      <c r="DU295" s="20"/>
      <c r="DV295" s="20"/>
      <c r="DW295" s="20"/>
      <c r="DX295" s="20"/>
      <c r="DY295" s="20"/>
      <c r="DZ295" s="20"/>
      <c r="EA295" s="20"/>
      <c r="EB295" s="20"/>
      <c r="EC295" s="20"/>
      <c r="ED295" s="20"/>
      <c r="EE295" s="20"/>
      <c r="EF295" s="20"/>
      <c r="EG295" s="20"/>
      <c r="EH295" s="20"/>
      <c r="EI295" s="20"/>
      <c r="EJ295" s="20"/>
      <c r="EK295" s="20"/>
      <c r="EL295" s="20"/>
      <c r="EM295" s="20"/>
      <c r="EN295" s="20"/>
      <c r="EO295" s="20"/>
      <c r="EP295" s="20"/>
      <c r="EQ295" s="20"/>
      <c r="ER295" s="20"/>
      <c r="ES295" s="20"/>
      <c r="ET295" s="20"/>
      <c r="EU295" s="20"/>
      <c r="EV295" s="20"/>
      <c r="EW295" s="20"/>
      <c r="EX295" s="20"/>
      <c r="EY295" s="20"/>
      <c r="EZ295" s="20"/>
      <c r="FA295" s="20"/>
      <c r="FB295" s="20"/>
      <c r="FC295" s="20"/>
      <c r="FD295" s="20"/>
      <c r="FE295" s="20"/>
      <c r="FF295" s="20"/>
      <c r="FG295" s="20"/>
      <c r="FH295" s="20"/>
      <c r="FI295" s="20"/>
      <c r="FJ295" s="20"/>
      <c r="FK295" s="20"/>
      <c r="FL295" s="20"/>
      <c r="FM295" s="20"/>
      <c r="FN295" s="20"/>
      <c r="FO295" s="20"/>
      <c r="FP295" s="20"/>
      <c r="FQ295" s="20"/>
      <c r="FR295" s="20"/>
      <c r="FS295" s="20"/>
      <c r="FT295" s="20"/>
      <c r="FU295" s="20"/>
      <c r="FV295" s="20"/>
      <c r="FW295" s="20"/>
      <c r="FX295" s="20"/>
      <c r="FY295" s="20"/>
      <c r="FZ295" s="20"/>
      <c r="GA295" s="20"/>
      <c r="GB295" s="20"/>
      <c r="GC295" s="20"/>
      <c r="GD295" s="20"/>
      <c r="GE295" s="20"/>
      <c r="GF295" s="20"/>
      <c r="GG295" s="20"/>
      <c r="GH295" s="20"/>
      <c r="GI295" s="20"/>
      <c r="GJ295" s="20"/>
      <c r="GK295" s="20"/>
      <c r="GL295" s="20"/>
      <c r="GM295" s="20"/>
      <c r="GN295" s="20"/>
      <c r="GO295" s="20"/>
      <c r="GP295" s="20"/>
      <c r="GQ295" s="20"/>
      <c r="GR295" s="20"/>
      <c r="GS295" s="20"/>
      <c r="GT295" s="21"/>
      <c r="GU295" s="21"/>
      <c r="GV295" s="21"/>
      <c r="GW295" s="21"/>
      <c r="GX295" s="21"/>
      <c r="GY295" s="21"/>
      <c r="GZ295" s="21"/>
      <c r="HA295" s="21"/>
      <c r="HB295" s="21"/>
      <c r="HC295" s="21"/>
      <c r="HD295" s="21"/>
      <c r="HE295" s="21"/>
      <c r="HF295" s="21"/>
      <c r="HG295" s="21"/>
      <c r="HH295" s="21"/>
      <c r="HI295" s="21"/>
      <c r="HJ295" s="21"/>
      <c r="HK295" s="21"/>
      <c r="HL295" s="21"/>
      <c r="HM295" s="21"/>
      <c r="HN295" s="21"/>
      <c r="HO295" s="21"/>
      <c r="HP295" s="21"/>
      <c r="HQ295" s="21"/>
      <c r="HR295" s="21"/>
      <c r="HS295" s="21"/>
      <c r="HT295" s="21"/>
      <c r="HU295" s="21"/>
      <c r="HV295" s="21"/>
      <c r="HW295" s="21"/>
      <c r="HX295" s="21"/>
      <c r="HY295" s="21"/>
      <c r="HZ295" s="21"/>
      <c r="IA295" s="21"/>
      <c r="IB295" s="21"/>
      <c r="IC295" s="21"/>
      <c r="ID295" s="21"/>
      <c r="IE295" s="21"/>
      <c r="IF295" s="21"/>
      <c r="IG295" s="21"/>
      <c r="IH295" s="21"/>
      <c r="II295" s="21"/>
      <c r="IJ295" s="21"/>
      <c r="IK295" s="21"/>
      <c r="IL295" s="21"/>
      <c r="IM295" s="21"/>
      <c r="IN295" s="21"/>
      <c r="IO295" s="21"/>
      <c r="IP295" s="21"/>
      <c r="IQ295" s="21"/>
      <c r="IR295" s="21"/>
      <c r="IS295" s="21"/>
      <c r="IT295" s="21"/>
    </row>
    <row r="296" spans="1:254" s="3" customFormat="1" ht="27" customHeight="1">
      <c r="A296" s="11">
        <v>294</v>
      </c>
      <c r="B296" s="13" t="str">
        <f>"罗奋"</f>
        <v>罗奋</v>
      </c>
      <c r="C296" s="13" t="s">
        <v>18</v>
      </c>
      <c r="D296" s="13" t="str">
        <f>"230702201006"</f>
        <v>230702201006</v>
      </c>
      <c r="E296" s="18">
        <v>59.855</v>
      </c>
      <c r="F296" s="19" t="s">
        <v>10</v>
      </c>
      <c r="G296" s="19" t="s">
        <v>10</v>
      </c>
      <c r="H296" s="18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  <c r="DP296" s="20"/>
      <c r="DQ296" s="20"/>
      <c r="DR296" s="20"/>
      <c r="DS296" s="20"/>
      <c r="DT296" s="20"/>
      <c r="DU296" s="20"/>
      <c r="DV296" s="20"/>
      <c r="DW296" s="20"/>
      <c r="DX296" s="20"/>
      <c r="DY296" s="20"/>
      <c r="DZ296" s="20"/>
      <c r="EA296" s="20"/>
      <c r="EB296" s="20"/>
      <c r="EC296" s="20"/>
      <c r="ED296" s="20"/>
      <c r="EE296" s="20"/>
      <c r="EF296" s="20"/>
      <c r="EG296" s="20"/>
      <c r="EH296" s="20"/>
      <c r="EI296" s="20"/>
      <c r="EJ296" s="20"/>
      <c r="EK296" s="20"/>
      <c r="EL296" s="20"/>
      <c r="EM296" s="20"/>
      <c r="EN296" s="20"/>
      <c r="EO296" s="20"/>
      <c r="EP296" s="20"/>
      <c r="EQ296" s="20"/>
      <c r="ER296" s="20"/>
      <c r="ES296" s="20"/>
      <c r="ET296" s="20"/>
      <c r="EU296" s="20"/>
      <c r="EV296" s="20"/>
      <c r="EW296" s="20"/>
      <c r="EX296" s="20"/>
      <c r="EY296" s="20"/>
      <c r="EZ296" s="20"/>
      <c r="FA296" s="20"/>
      <c r="FB296" s="20"/>
      <c r="FC296" s="20"/>
      <c r="FD296" s="20"/>
      <c r="FE296" s="20"/>
      <c r="FF296" s="20"/>
      <c r="FG296" s="20"/>
      <c r="FH296" s="20"/>
      <c r="FI296" s="20"/>
      <c r="FJ296" s="20"/>
      <c r="FK296" s="20"/>
      <c r="FL296" s="20"/>
      <c r="FM296" s="20"/>
      <c r="FN296" s="20"/>
      <c r="FO296" s="20"/>
      <c r="FP296" s="20"/>
      <c r="FQ296" s="20"/>
      <c r="FR296" s="20"/>
      <c r="FS296" s="20"/>
      <c r="FT296" s="20"/>
      <c r="FU296" s="20"/>
      <c r="FV296" s="20"/>
      <c r="FW296" s="20"/>
      <c r="FX296" s="20"/>
      <c r="FY296" s="20"/>
      <c r="FZ296" s="20"/>
      <c r="GA296" s="20"/>
      <c r="GB296" s="20"/>
      <c r="GC296" s="20"/>
      <c r="GD296" s="20"/>
      <c r="GE296" s="20"/>
      <c r="GF296" s="20"/>
      <c r="GG296" s="20"/>
      <c r="GH296" s="20"/>
      <c r="GI296" s="20"/>
      <c r="GJ296" s="20"/>
      <c r="GK296" s="20"/>
      <c r="GL296" s="20"/>
      <c r="GM296" s="20"/>
      <c r="GN296" s="20"/>
      <c r="GO296" s="20"/>
      <c r="GP296" s="20"/>
      <c r="GQ296" s="20"/>
      <c r="GR296" s="20"/>
      <c r="GS296" s="20"/>
      <c r="GT296" s="21"/>
      <c r="GU296" s="21"/>
      <c r="GV296" s="21"/>
      <c r="GW296" s="21"/>
      <c r="GX296" s="21"/>
      <c r="GY296" s="21"/>
      <c r="GZ296" s="21"/>
      <c r="HA296" s="21"/>
      <c r="HB296" s="21"/>
      <c r="HC296" s="21"/>
      <c r="HD296" s="21"/>
      <c r="HE296" s="21"/>
      <c r="HF296" s="21"/>
      <c r="HG296" s="21"/>
      <c r="HH296" s="21"/>
      <c r="HI296" s="21"/>
      <c r="HJ296" s="21"/>
      <c r="HK296" s="21"/>
      <c r="HL296" s="21"/>
      <c r="HM296" s="21"/>
      <c r="HN296" s="21"/>
      <c r="HO296" s="21"/>
      <c r="HP296" s="21"/>
      <c r="HQ296" s="21"/>
      <c r="HR296" s="21"/>
      <c r="HS296" s="21"/>
      <c r="HT296" s="21"/>
      <c r="HU296" s="21"/>
      <c r="HV296" s="21"/>
      <c r="HW296" s="21"/>
      <c r="HX296" s="21"/>
      <c r="HY296" s="21"/>
      <c r="HZ296" s="21"/>
      <c r="IA296" s="21"/>
      <c r="IB296" s="21"/>
      <c r="IC296" s="21"/>
      <c r="ID296" s="21"/>
      <c r="IE296" s="21"/>
      <c r="IF296" s="21"/>
      <c r="IG296" s="21"/>
      <c r="IH296" s="21"/>
      <c r="II296" s="21"/>
      <c r="IJ296" s="21"/>
      <c r="IK296" s="21"/>
      <c r="IL296" s="21"/>
      <c r="IM296" s="21"/>
      <c r="IN296" s="21"/>
      <c r="IO296" s="21"/>
      <c r="IP296" s="21"/>
      <c r="IQ296" s="21"/>
      <c r="IR296" s="21"/>
      <c r="IS296" s="21"/>
      <c r="IT296" s="21"/>
    </row>
    <row r="297" spans="1:254" s="3" customFormat="1" ht="27" customHeight="1">
      <c r="A297" s="11">
        <v>295</v>
      </c>
      <c r="B297" s="13" t="str">
        <f>"赖世杰"</f>
        <v>赖世杰</v>
      </c>
      <c r="C297" s="13" t="s">
        <v>18</v>
      </c>
      <c r="D297" s="13" t="str">
        <f>"230702201011"</f>
        <v>230702201011</v>
      </c>
      <c r="E297" s="18">
        <v>59.785</v>
      </c>
      <c r="F297" s="19" t="s">
        <v>10</v>
      </c>
      <c r="G297" s="19" t="s">
        <v>10</v>
      </c>
      <c r="H297" s="18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  <c r="EC297" s="20"/>
      <c r="ED297" s="20"/>
      <c r="EE297" s="20"/>
      <c r="EF297" s="20"/>
      <c r="EG297" s="20"/>
      <c r="EH297" s="20"/>
      <c r="EI297" s="20"/>
      <c r="EJ297" s="20"/>
      <c r="EK297" s="20"/>
      <c r="EL297" s="20"/>
      <c r="EM297" s="20"/>
      <c r="EN297" s="20"/>
      <c r="EO297" s="20"/>
      <c r="EP297" s="20"/>
      <c r="EQ297" s="20"/>
      <c r="ER297" s="20"/>
      <c r="ES297" s="20"/>
      <c r="ET297" s="20"/>
      <c r="EU297" s="20"/>
      <c r="EV297" s="20"/>
      <c r="EW297" s="20"/>
      <c r="EX297" s="20"/>
      <c r="EY297" s="20"/>
      <c r="EZ297" s="20"/>
      <c r="FA297" s="20"/>
      <c r="FB297" s="20"/>
      <c r="FC297" s="20"/>
      <c r="FD297" s="20"/>
      <c r="FE297" s="20"/>
      <c r="FF297" s="20"/>
      <c r="FG297" s="20"/>
      <c r="FH297" s="20"/>
      <c r="FI297" s="20"/>
      <c r="FJ297" s="20"/>
      <c r="FK297" s="20"/>
      <c r="FL297" s="20"/>
      <c r="FM297" s="20"/>
      <c r="FN297" s="20"/>
      <c r="FO297" s="20"/>
      <c r="FP297" s="20"/>
      <c r="FQ297" s="20"/>
      <c r="FR297" s="20"/>
      <c r="FS297" s="20"/>
      <c r="FT297" s="20"/>
      <c r="FU297" s="20"/>
      <c r="FV297" s="20"/>
      <c r="FW297" s="20"/>
      <c r="FX297" s="20"/>
      <c r="FY297" s="20"/>
      <c r="FZ297" s="20"/>
      <c r="GA297" s="20"/>
      <c r="GB297" s="20"/>
      <c r="GC297" s="20"/>
      <c r="GD297" s="20"/>
      <c r="GE297" s="20"/>
      <c r="GF297" s="20"/>
      <c r="GG297" s="20"/>
      <c r="GH297" s="20"/>
      <c r="GI297" s="20"/>
      <c r="GJ297" s="20"/>
      <c r="GK297" s="20"/>
      <c r="GL297" s="20"/>
      <c r="GM297" s="20"/>
      <c r="GN297" s="20"/>
      <c r="GO297" s="20"/>
      <c r="GP297" s="20"/>
      <c r="GQ297" s="20"/>
      <c r="GR297" s="20"/>
      <c r="GS297" s="20"/>
      <c r="GT297" s="21"/>
      <c r="GU297" s="21"/>
      <c r="GV297" s="21"/>
      <c r="GW297" s="21"/>
      <c r="GX297" s="21"/>
      <c r="GY297" s="21"/>
      <c r="GZ297" s="21"/>
      <c r="HA297" s="21"/>
      <c r="HB297" s="21"/>
      <c r="HC297" s="21"/>
      <c r="HD297" s="21"/>
      <c r="HE297" s="21"/>
      <c r="HF297" s="21"/>
      <c r="HG297" s="21"/>
      <c r="HH297" s="21"/>
      <c r="HI297" s="21"/>
      <c r="HJ297" s="21"/>
      <c r="HK297" s="21"/>
      <c r="HL297" s="21"/>
      <c r="HM297" s="21"/>
      <c r="HN297" s="21"/>
      <c r="HO297" s="21"/>
      <c r="HP297" s="21"/>
      <c r="HQ297" s="21"/>
      <c r="HR297" s="21"/>
      <c r="HS297" s="21"/>
      <c r="HT297" s="21"/>
      <c r="HU297" s="21"/>
      <c r="HV297" s="21"/>
      <c r="HW297" s="21"/>
      <c r="HX297" s="21"/>
      <c r="HY297" s="21"/>
      <c r="HZ297" s="21"/>
      <c r="IA297" s="21"/>
      <c r="IB297" s="21"/>
      <c r="IC297" s="21"/>
      <c r="ID297" s="21"/>
      <c r="IE297" s="21"/>
      <c r="IF297" s="21"/>
      <c r="IG297" s="21"/>
      <c r="IH297" s="21"/>
      <c r="II297" s="21"/>
      <c r="IJ297" s="21"/>
      <c r="IK297" s="21"/>
      <c r="IL297" s="21"/>
      <c r="IM297" s="21"/>
      <c r="IN297" s="21"/>
      <c r="IO297" s="21"/>
      <c r="IP297" s="21"/>
      <c r="IQ297" s="21"/>
      <c r="IR297" s="21"/>
      <c r="IS297" s="21"/>
      <c r="IT297" s="21"/>
    </row>
    <row r="298" spans="1:254" s="2" customFormat="1" ht="24.75" customHeight="1">
      <c r="A298" s="11">
        <v>296</v>
      </c>
      <c r="B298" s="12" t="str">
        <f>"王祚益"</f>
        <v>王祚益</v>
      </c>
      <c r="C298" s="13" t="s">
        <v>19</v>
      </c>
      <c r="D298" s="13" t="str">
        <f>"230702201418"</f>
        <v>230702201418</v>
      </c>
      <c r="E298" s="18">
        <v>59.885</v>
      </c>
      <c r="F298" s="19" t="s">
        <v>10</v>
      </c>
      <c r="G298" s="19" t="s">
        <v>10</v>
      </c>
      <c r="H298" s="11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  <c r="DP298" s="20"/>
      <c r="DQ298" s="20"/>
      <c r="DR298" s="20"/>
      <c r="DS298" s="20"/>
      <c r="DT298" s="20"/>
      <c r="DU298" s="20"/>
      <c r="DV298" s="20"/>
      <c r="DW298" s="20"/>
      <c r="DX298" s="20"/>
      <c r="DY298" s="20"/>
      <c r="DZ298" s="20"/>
      <c r="EA298" s="20"/>
      <c r="EB298" s="20"/>
      <c r="EC298" s="20"/>
      <c r="ED298" s="20"/>
      <c r="EE298" s="20"/>
      <c r="EF298" s="20"/>
      <c r="EG298" s="20"/>
      <c r="EH298" s="20"/>
      <c r="EI298" s="20"/>
      <c r="EJ298" s="20"/>
      <c r="EK298" s="20"/>
      <c r="EL298" s="20"/>
      <c r="EM298" s="20"/>
      <c r="EN298" s="20"/>
      <c r="EO298" s="20"/>
      <c r="EP298" s="20"/>
      <c r="EQ298" s="20"/>
      <c r="ER298" s="20"/>
      <c r="ES298" s="20"/>
      <c r="ET298" s="20"/>
      <c r="EU298" s="20"/>
      <c r="EV298" s="20"/>
      <c r="EW298" s="20"/>
      <c r="EX298" s="20"/>
      <c r="EY298" s="20"/>
      <c r="EZ298" s="20"/>
      <c r="FA298" s="20"/>
      <c r="FB298" s="20"/>
      <c r="FC298" s="20"/>
      <c r="FD298" s="20"/>
      <c r="FE298" s="20"/>
      <c r="FF298" s="20"/>
      <c r="FG298" s="20"/>
      <c r="FH298" s="20"/>
      <c r="FI298" s="20"/>
      <c r="FJ298" s="20"/>
      <c r="FK298" s="20"/>
      <c r="FL298" s="20"/>
      <c r="FM298" s="20"/>
      <c r="FN298" s="20"/>
      <c r="FO298" s="20"/>
      <c r="FP298" s="20"/>
      <c r="FQ298" s="20"/>
      <c r="FR298" s="20"/>
      <c r="FS298" s="20"/>
      <c r="FT298" s="20"/>
      <c r="FU298" s="20"/>
      <c r="FV298" s="20"/>
      <c r="FW298" s="20"/>
      <c r="FX298" s="20"/>
      <c r="FY298" s="20"/>
      <c r="FZ298" s="20"/>
      <c r="GA298" s="20"/>
      <c r="GB298" s="20"/>
      <c r="GC298" s="20"/>
      <c r="GD298" s="20"/>
      <c r="GE298" s="20"/>
      <c r="GF298" s="20"/>
      <c r="GG298" s="20"/>
      <c r="GH298" s="20"/>
      <c r="GI298" s="20"/>
      <c r="GJ298" s="20"/>
      <c r="GK298" s="20"/>
      <c r="GL298" s="20"/>
      <c r="GM298" s="20"/>
      <c r="GN298" s="20"/>
      <c r="GO298" s="20"/>
      <c r="GP298" s="20"/>
      <c r="GQ298" s="20"/>
      <c r="GR298" s="21"/>
      <c r="GS298" s="21"/>
      <c r="GT298" s="21"/>
      <c r="GU298" s="21"/>
      <c r="GV298" s="21"/>
      <c r="GW298" s="21"/>
      <c r="GX298" s="21"/>
      <c r="GY298" s="21"/>
      <c r="GZ298" s="21"/>
      <c r="HA298" s="21"/>
      <c r="HB298" s="21"/>
      <c r="HC298" s="21"/>
      <c r="HD298" s="21"/>
      <c r="HE298" s="21"/>
      <c r="HF298" s="21"/>
      <c r="HG298" s="21"/>
      <c r="HH298" s="21"/>
      <c r="HI298" s="21"/>
      <c r="HJ298" s="21"/>
      <c r="HK298" s="21"/>
      <c r="HL298" s="21"/>
      <c r="HM298" s="21"/>
      <c r="HN298" s="21"/>
      <c r="HO298" s="21"/>
      <c r="HP298" s="21"/>
      <c r="HQ298" s="21"/>
      <c r="HR298" s="21"/>
      <c r="HS298" s="21"/>
      <c r="HT298" s="21"/>
      <c r="HU298" s="21"/>
      <c r="HV298" s="21"/>
      <c r="HW298" s="21"/>
      <c r="HX298" s="21"/>
      <c r="HY298" s="21"/>
      <c r="HZ298" s="21"/>
      <c r="IA298" s="21"/>
      <c r="IB298" s="21"/>
      <c r="IC298" s="21"/>
      <c r="ID298" s="21"/>
      <c r="IE298" s="21"/>
      <c r="IF298" s="21"/>
      <c r="IG298" s="21"/>
      <c r="IH298" s="21"/>
      <c r="II298" s="21"/>
      <c r="IJ298" s="21"/>
      <c r="IK298" s="21"/>
      <c r="IL298" s="21"/>
      <c r="IM298" s="21"/>
      <c r="IN298" s="21"/>
      <c r="IO298" s="21"/>
      <c r="IP298" s="21"/>
      <c r="IQ298" s="21"/>
      <c r="IR298" s="21"/>
      <c r="IS298" s="21"/>
      <c r="IT298" s="21"/>
    </row>
    <row r="299" spans="1:254" s="2" customFormat="1" ht="24.75" customHeight="1">
      <c r="A299" s="11">
        <v>297</v>
      </c>
      <c r="B299" s="12" t="str">
        <f>"朱军维"</f>
        <v>朱军维</v>
      </c>
      <c r="C299" s="13" t="s">
        <v>20</v>
      </c>
      <c r="D299" s="13" t="str">
        <f>"230702201507"</f>
        <v>230702201507</v>
      </c>
      <c r="E299" s="18">
        <v>70.86500000000001</v>
      </c>
      <c r="F299" s="19" t="s">
        <v>10</v>
      </c>
      <c r="G299" s="19" t="s">
        <v>10</v>
      </c>
      <c r="H299" s="11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  <c r="DP299" s="20"/>
      <c r="DQ299" s="20"/>
      <c r="DR299" s="20"/>
      <c r="DS299" s="20"/>
      <c r="DT299" s="20"/>
      <c r="DU299" s="20"/>
      <c r="DV299" s="20"/>
      <c r="DW299" s="20"/>
      <c r="DX299" s="20"/>
      <c r="DY299" s="20"/>
      <c r="DZ299" s="20"/>
      <c r="EA299" s="20"/>
      <c r="EB299" s="20"/>
      <c r="EC299" s="20"/>
      <c r="ED299" s="20"/>
      <c r="EE299" s="20"/>
      <c r="EF299" s="20"/>
      <c r="EG299" s="20"/>
      <c r="EH299" s="20"/>
      <c r="EI299" s="20"/>
      <c r="EJ299" s="20"/>
      <c r="EK299" s="20"/>
      <c r="EL299" s="20"/>
      <c r="EM299" s="20"/>
      <c r="EN299" s="20"/>
      <c r="EO299" s="20"/>
      <c r="EP299" s="20"/>
      <c r="EQ299" s="20"/>
      <c r="ER299" s="20"/>
      <c r="ES299" s="20"/>
      <c r="ET299" s="20"/>
      <c r="EU299" s="20"/>
      <c r="EV299" s="20"/>
      <c r="EW299" s="20"/>
      <c r="EX299" s="20"/>
      <c r="EY299" s="20"/>
      <c r="EZ299" s="20"/>
      <c r="FA299" s="20"/>
      <c r="FB299" s="20"/>
      <c r="FC299" s="20"/>
      <c r="FD299" s="20"/>
      <c r="FE299" s="20"/>
      <c r="FF299" s="20"/>
      <c r="FG299" s="20"/>
      <c r="FH299" s="20"/>
      <c r="FI299" s="20"/>
      <c r="FJ299" s="20"/>
      <c r="FK299" s="20"/>
      <c r="FL299" s="20"/>
      <c r="FM299" s="20"/>
      <c r="FN299" s="20"/>
      <c r="FO299" s="20"/>
      <c r="FP299" s="20"/>
      <c r="FQ299" s="20"/>
      <c r="FR299" s="20"/>
      <c r="FS299" s="20"/>
      <c r="FT299" s="20"/>
      <c r="FU299" s="20"/>
      <c r="FV299" s="20"/>
      <c r="FW299" s="20"/>
      <c r="FX299" s="20"/>
      <c r="FY299" s="20"/>
      <c r="FZ299" s="20"/>
      <c r="GA299" s="20"/>
      <c r="GB299" s="20"/>
      <c r="GC299" s="20"/>
      <c r="GD299" s="20"/>
      <c r="GE299" s="20"/>
      <c r="GF299" s="20"/>
      <c r="GG299" s="20"/>
      <c r="GH299" s="20"/>
      <c r="GI299" s="20"/>
      <c r="GJ299" s="20"/>
      <c r="GK299" s="20"/>
      <c r="GL299" s="20"/>
      <c r="GM299" s="20"/>
      <c r="GN299" s="20"/>
      <c r="GO299" s="20"/>
      <c r="GP299" s="20"/>
      <c r="GQ299" s="20"/>
      <c r="GR299" s="21"/>
      <c r="GS299" s="21"/>
      <c r="GT299" s="21"/>
      <c r="GU299" s="21"/>
      <c r="GV299" s="21"/>
      <c r="GW299" s="21"/>
      <c r="GX299" s="21"/>
      <c r="GY299" s="21"/>
      <c r="GZ299" s="21"/>
      <c r="HA299" s="21"/>
      <c r="HB299" s="21"/>
      <c r="HC299" s="21"/>
      <c r="HD299" s="21"/>
      <c r="HE299" s="21"/>
      <c r="HF299" s="21"/>
      <c r="HG299" s="21"/>
      <c r="HH299" s="21"/>
      <c r="HI299" s="21"/>
      <c r="HJ299" s="21"/>
      <c r="HK299" s="21"/>
      <c r="HL299" s="21"/>
      <c r="HM299" s="21"/>
      <c r="HN299" s="21"/>
      <c r="HO299" s="21"/>
      <c r="HP299" s="21"/>
      <c r="HQ299" s="21"/>
      <c r="HR299" s="21"/>
      <c r="HS299" s="21"/>
      <c r="HT299" s="21"/>
      <c r="HU299" s="21"/>
      <c r="HV299" s="21"/>
      <c r="HW299" s="21"/>
      <c r="HX299" s="21"/>
      <c r="HY299" s="21"/>
      <c r="HZ299" s="21"/>
      <c r="IA299" s="21"/>
      <c r="IB299" s="21"/>
      <c r="IC299" s="21"/>
      <c r="ID299" s="21"/>
      <c r="IE299" s="21"/>
      <c r="IF299" s="21"/>
      <c r="IG299" s="21"/>
      <c r="IH299" s="21"/>
      <c r="II299" s="21"/>
      <c r="IJ299" s="21"/>
      <c r="IK299" s="21"/>
      <c r="IL299" s="21"/>
      <c r="IM299" s="21"/>
      <c r="IN299" s="21"/>
      <c r="IO299" s="21"/>
      <c r="IP299" s="21"/>
      <c r="IQ299" s="21"/>
      <c r="IR299" s="21"/>
      <c r="IS299" s="21"/>
      <c r="IT299" s="21"/>
    </row>
    <row r="300" spans="1:254" s="2" customFormat="1" ht="24.75" customHeight="1">
      <c r="A300" s="11">
        <v>298</v>
      </c>
      <c r="B300" s="12" t="str">
        <f>"吴英健"</f>
        <v>吴英健</v>
      </c>
      <c r="C300" s="13" t="s">
        <v>20</v>
      </c>
      <c r="D300" s="13" t="str">
        <f>"230702201628"</f>
        <v>230702201628</v>
      </c>
      <c r="E300" s="18">
        <v>64</v>
      </c>
      <c r="F300" s="19" t="s">
        <v>10</v>
      </c>
      <c r="G300" s="19" t="s">
        <v>10</v>
      </c>
      <c r="H300" s="11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  <c r="CZ300" s="20"/>
      <c r="DA300" s="20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  <c r="DP300" s="20"/>
      <c r="DQ300" s="20"/>
      <c r="DR300" s="20"/>
      <c r="DS300" s="20"/>
      <c r="DT300" s="20"/>
      <c r="DU300" s="20"/>
      <c r="DV300" s="20"/>
      <c r="DW300" s="20"/>
      <c r="DX300" s="20"/>
      <c r="DY300" s="20"/>
      <c r="DZ300" s="20"/>
      <c r="EA300" s="20"/>
      <c r="EB300" s="20"/>
      <c r="EC300" s="20"/>
      <c r="ED300" s="20"/>
      <c r="EE300" s="20"/>
      <c r="EF300" s="20"/>
      <c r="EG300" s="20"/>
      <c r="EH300" s="20"/>
      <c r="EI300" s="20"/>
      <c r="EJ300" s="20"/>
      <c r="EK300" s="20"/>
      <c r="EL300" s="20"/>
      <c r="EM300" s="20"/>
      <c r="EN300" s="20"/>
      <c r="EO300" s="20"/>
      <c r="EP300" s="20"/>
      <c r="EQ300" s="20"/>
      <c r="ER300" s="20"/>
      <c r="ES300" s="20"/>
      <c r="ET300" s="20"/>
      <c r="EU300" s="20"/>
      <c r="EV300" s="20"/>
      <c r="EW300" s="20"/>
      <c r="EX300" s="20"/>
      <c r="EY300" s="20"/>
      <c r="EZ300" s="20"/>
      <c r="FA300" s="20"/>
      <c r="FB300" s="20"/>
      <c r="FC300" s="20"/>
      <c r="FD300" s="20"/>
      <c r="FE300" s="20"/>
      <c r="FF300" s="20"/>
      <c r="FG300" s="20"/>
      <c r="FH300" s="20"/>
      <c r="FI300" s="20"/>
      <c r="FJ300" s="20"/>
      <c r="FK300" s="20"/>
      <c r="FL300" s="20"/>
      <c r="FM300" s="20"/>
      <c r="FN300" s="20"/>
      <c r="FO300" s="20"/>
      <c r="FP300" s="20"/>
      <c r="FQ300" s="20"/>
      <c r="FR300" s="20"/>
      <c r="FS300" s="20"/>
      <c r="FT300" s="20"/>
      <c r="FU300" s="20"/>
      <c r="FV300" s="20"/>
      <c r="FW300" s="20"/>
      <c r="FX300" s="20"/>
      <c r="FY300" s="20"/>
      <c r="FZ300" s="20"/>
      <c r="GA300" s="20"/>
      <c r="GB300" s="20"/>
      <c r="GC300" s="20"/>
      <c r="GD300" s="20"/>
      <c r="GE300" s="20"/>
      <c r="GF300" s="20"/>
      <c r="GG300" s="20"/>
      <c r="GH300" s="20"/>
      <c r="GI300" s="20"/>
      <c r="GJ300" s="20"/>
      <c r="GK300" s="20"/>
      <c r="GL300" s="20"/>
      <c r="GM300" s="20"/>
      <c r="GN300" s="20"/>
      <c r="GO300" s="20"/>
      <c r="GP300" s="20"/>
      <c r="GQ300" s="20"/>
      <c r="GR300" s="21"/>
      <c r="GS300" s="21"/>
      <c r="GT300" s="21"/>
      <c r="GU300" s="21"/>
      <c r="GV300" s="21"/>
      <c r="GW300" s="21"/>
      <c r="GX300" s="21"/>
      <c r="GY300" s="21"/>
      <c r="GZ300" s="21"/>
      <c r="HA300" s="21"/>
      <c r="HB300" s="21"/>
      <c r="HC300" s="21"/>
      <c r="HD300" s="21"/>
      <c r="HE300" s="21"/>
      <c r="HF300" s="21"/>
      <c r="HG300" s="21"/>
      <c r="HH300" s="21"/>
      <c r="HI300" s="21"/>
      <c r="HJ300" s="21"/>
      <c r="HK300" s="21"/>
      <c r="HL300" s="21"/>
      <c r="HM300" s="21"/>
      <c r="HN300" s="21"/>
      <c r="HO300" s="21"/>
      <c r="HP300" s="21"/>
      <c r="HQ300" s="21"/>
      <c r="HR300" s="21"/>
      <c r="HS300" s="21"/>
      <c r="HT300" s="21"/>
      <c r="HU300" s="21"/>
      <c r="HV300" s="21"/>
      <c r="HW300" s="21"/>
      <c r="HX300" s="21"/>
      <c r="HY300" s="21"/>
      <c r="HZ300" s="21"/>
      <c r="IA300" s="21"/>
      <c r="IB300" s="21"/>
      <c r="IC300" s="21"/>
      <c r="ID300" s="21"/>
      <c r="IE300" s="21"/>
      <c r="IF300" s="21"/>
      <c r="IG300" s="21"/>
      <c r="IH300" s="21"/>
      <c r="II300" s="21"/>
      <c r="IJ300" s="21"/>
      <c r="IK300" s="21"/>
      <c r="IL300" s="21"/>
      <c r="IM300" s="21"/>
      <c r="IN300" s="21"/>
      <c r="IO300" s="21"/>
      <c r="IP300" s="21"/>
      <c r="IQ300" s="21"/>
      <c r="IR300" s="21"/>
      <c r="IS300" s="21"/>
      <c r="IT300" s="21"/>
    </row>
    <row r="301" spans="1:254" s="3" customFormat="1" ht="27" customHeight="1">
      <c r="A301" s="11">
        <v>299</v>
      </c>
      <c r="B301" s="13" t="str">
        <f>"黎凡"</f>
        <v>黎凡</v>
      </c>
      <c r="C301" s="13" t="s">
        <v>21</v>
      </c>
      <c r="D301" s="13" t="str">
        <f>"230702202512"</f>
        <v>230702202512</v>
      </c>
      <c r="E301" s="18">
        <v>69.035</v>
      </c>
      <c r="F301" s="19" t="s">
        <v>10</v>
      </c>
      <c r="G301" s="19" t="s">
        <v>10</v>
      </c>
      <c r="H301" s="18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  <c r="DP301" s="20"/>
      <c r="DQ301" s="20"/>
      <c r="DR301" s="20"/>
      <c r="DS301" s="20"/>
      <c r="DT301" s="20"/>
      <c r="DU301" s="20"/>
      <c r="DV301" s="20"/>
      <c r="DW301" s="20"/>
      <c r="DX301" s="20"/>
      <c r="DY301" s="20"/>
      <c r="DZ301" s="20"/>
      <c r="EA301" s="20"/>
      <c r="EB301" s="20"/>
      <c r="EC301" s="20"/>
      <c r="ED301" s="20"/>
      <c r="EE301" s="20"/>
      <c r="EF301" s="20"/>
      <c r="EG301" s="20"/>
      <c r="EH301" s="20"/>
      <c r="EI301" s="20"/>
      <c r="EJ301" s="20"/>
      <c r="EK301" s="20"/>
      <c r="EL301" s="20"/>
      <c r="EM301" s="20"/>
      <c r="EN301" s="20"/>
      <c r="EO301" s="20"/>
      <c r="EP301" s="20"/>
      <c r="EQ301" s="20"/>
      <c r="ER301" s="20"/>
      <c r="ES301" s="20"/>
      <c r="ET301" s="20"/>
      <c r="EU301" s="20"/>
      <c r="EV301" s="20"/>
      <c r="EW301" s="20"/>
      <c r="EX301" s="20"/>
      <c r="EY301" s="20"/>
      <c r="EZ301" s="20"/>
      <c r="FA301" s="20"/>
      <c r="FB301" s="20"/>
      <c r="FC301" s="20"/>
      <c r="FD301" s="20"/>
      <c r="FE301" s="20"/>
      <c r="FF301" s="20"/>
      <c r="FG301" s="20"/>
      <c r="FH301" s="20"/>
      <c r="FI301" s="20"/>
      <c r="FJ301" s="20"/>
      <c r="FK301" s="20"/>
      <c r="FL301" s="20"/>
      <c r="FM301" s="20"/>
      <c r="FN301" s="20"/>
      <c r="FO301" s="20"/>
      <c r="FP301" s="20"/>
      <c r="FQ301" s="20"/>
      <c r="FR301" s="20"/>
      <c r="FS301" s="20"/>
      <c r="FT301" s="20"/>
      <c r="FU301" s="20"/>
      <c r="FV301" s="20"/>
      <c r="FW301" s="20"/>
      <c r="FX301" s="20"/>
      <c r="FY301" s="20"/>
      <c r="FZ301" s="20"/>
      <c r="GA301" s="20"/>
      <c r="GB301" s="20"/>
      <c r="GC301" s="20"/>
      <c r="GD301" s="20"/>
      <c r="GE301" s="20"/>
      <c r="GF301" s="20"/>
      <c r="GG301" s="20"/>
      <c r="GH301" s="20"/>
      <c r="GI301" s="20"/>
      <c r="GJ301" s="20"/>
      <c r="GK301" s="20"/>
      <c r="GL301" s="20"/>
      <c r="GM301" s="20"/>
      <c r="GN301" s="20"/>
      <c r="GO301" s="20"/>
      <c r="GP301" s="20"/>
      <c r="GQ301" s="20"/>
      <c r="GR301" s="20"/>
      <c r="GS301" s="20"/>
      <c r="GT301" s="21"/>
      <c r="GU301" s="21"/>
      <c r="GV301" s="21"/>
      <c r="GW301" s="21"/>
      <c r="GX301" s="21"/>
      <c r="GY301" s="21"/>
      <c r="GZ301" s="21"/>
      <c r="HA301" s="21"/>
      <c r="HB301" s="21"/>
      <c r="HC301" s="21"/>
      <c r="HD301" s="21"/>
      <c r="HE301" s="21"/>
      <c r="HF301" s="21"/>
      <c r="HG301" s="21"/>
      <c r="HH301" s="21"/>
      <c r="HI301" s="21"/>
      <c r="HJ301" s="21"/>
      <c r="HK301" s="21"/>
      <c r="HL301" s="21"/>
      <c r="HM301" s="21"/>
      <c r="HN301" s="21"/>
      <c r="HO301" s="21"/>
      <c r="HP301" s="21"/>
      <c r="HQ301" s="21"/>
      <c r="HR301" s="21"/>
      <c r="HS301" s="21"/>
      <c r="HT301" s="21"/>
      <c r="HU301" s="21"/>
      <c r="HV301" s="21"/>
      <c r="HW301" s="21"/>
      <c r="HX301" s="21"/>
      <c r="HY301" s="21"/>
      <c r="HZ301" s="21"/>
      <c r="IA301" s="21"/>
      <c r="IB301" s="21"/>
      <c r="IC301" s="21"/>
      <c r="ID301" s="21"/>
      <c r="IE301" s="21"/>
      <c r="IF301" s="21"/>
      <c r="IG301" s="21"/>
      <c r="IH301" s="21"/>
      <c r="II301" s="21"/>
      <c r="IJ301" s="21"/>
      <c r="IK301" s="21"/>
      <c r="IL301" s="21"/>
      <c r="IM301" s="21"/>
      <c r="IN301" s="21"/>
      <c r="IO301" s="21"/>
      <c r="IP301" s="21"/>
      <c r="IQ301" s="21"/>
      <c r="IR301" s="21"/>
      <c r="IS301" s="21"/>
      <c r="IT301" s="21"/>
    </row>
    <row r="302" spans="1:254" s="3" customFormat="1" ht="27" customHeight="1">
      <c r="A302" s="11">
        <v>300</v>
      </c>
      <c r="B302" s="13" t="str">
        <f>"何泉滨"</f>
        <v>何泉滨</v>
      </c>
      <c r="C302" s="13" t="s">
        <v>21</v>
      </c>
      <c r="D302" s="13" t="str">
        <f>"230702202327"</f>
        <v>230702202327</v>
      </c>
      <c r="E302" s="18">
        <v>67.515</v>
      </c>
      <c r="F302" s="19" t="s">
        <v>10</v>
      </c>
      <c r="G302" s="19" t="s">
        <v>10</v>
      </c>
      <c r="H302" s="18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  <c r="DP302" s="20"/>
      <c r="DQ302" s="20"/>
      <c r="DR302" s="20"/>
      <c r="DS302" s="20"/>
      <c r="DT302" s="20"/>
      <c r="DU302" s="20"/>
      <c r="DV302" s="20"/>
      <c r="DW302" s="20"/>
      <c r="DX302" s="20"/>
      <c r="DY302" s="20"/>
      <c r="DZ302" s="20"/>
      <c r="EA302" s="20"/>
      <c r="EB302" s="20"/>
      <c r="EC302" s="20"/>
      <c r="ED302" s="20"/>
      <c r="EE302" s="20"/>
      <c r="EF302" s="20"/>
      <c r="EG302" s="20"/>
      <c r="EH302" s="20"/>
      <c r="EI302" s="20"/>
      <c r="EJ302" s="20"/>
      <c r="EK302" s="20"/>
      <c r="EL302" s="20"/>
      <c r="EM302" s="20"/>
      <c r="EN302" s="20"/>
      <c r="EO302" s="20"/>
      <c r="EP302" s="20"/>
      <c r="EQ302" s="20"/>
      <c r="ER302" s="20"/>
      <c r="ES302" s="20"/>
      <c r="ET302" s="20"/>
      <c r="EU302" s="20"/>
      <c r="EV302" s="20"/>
      <c r="EW302" s="20"/>
      <c r="EX302" s="20"/>
      <c r="EY302" s="20"/>
      <c r="EZ302" s="20"/>
      <c r="FA302" s="20"/>
      <c r="FB302" s="20"/>
      <c r="FC302" s="20"/>
      <c r="FD302" s="20"/>
      <c r="FE302" s="20"/>
      <c r="FF302" s="20"/>
      <c r="FG302" s="20"/>
      <c r="FH302" s="20"/>
      <c r="FI302" s="20"/>
      <c r="FJ302" s="20"/>
      <c r="FK302" s="20"/>
      <c r="FL302" s="20"/>
      <c r="FM302" s="20"/>
      <c r="FN302" s="20"/>
      <c r="FO302" s="20"/>
      <c r="FP302" s="20"/>
      <c r="FQ302" s="20"/>
      <c r="FR302" s="20"/>
      <c r="FS302" s="20"/>
      <c r="FT302" s="20"/>
      <c r="FU302" s="20"/>
      <c r="FV302" s="20"/>
      <c r="FW302" s="20"/>
      <c r="FX302" s="20"/>
      <c r="FY302" s="20"/>
      <c r="FZ302" s="20"/>
      <c r="GA302" s="20"/>
      <c r="GB302" s="20"/>
      <c r="GC302" s="20"/>
      <c r="GD302" s="20"/>
      <c r="GE302" s="20"/>
      <c r="GF302" s="20"/>
      <c r="GG302" s="20"/>
      <c r="GH302" s="20"/>
      <c r="GI302" s="20"/>
      <c r="GJ302" s="20"/>
      <c r="GK302" s="20"/>
      <c r="GL302" s="20"/>
      <c r="GM302" s="20"/>
      <c r="GN302" s="20"/>
      <c r="GO302" s="20"/>
      <c r="GP302" s="20"/>
      <c r="GQ302" s="20"/>
      <c r="GR302" s="20"/>
      <c r="GS302" s="20"/>
      <c r="GT302" s="21"/>
      <c r="GU302" s="21"/>
      <c r="GV302" s="21"/>
      <c r="GW302" s="21"/>
      <c r="GX302" s="21"/>
      <c r="GY302" s="21"/>
      <c r="GZ302" s="21"/>
      <c r="HA302" s="21"/>
      <c r="HB302" s="21"/>
      <c r="HC302" s="21"/>
      <c r="HD302" s="21"/>
      <c r="HE302" s="21"/>
      <c r="HF302" s="21"/>
      <c r="HG302" s="21"/>
      <c r="HH302" s="21"/>
      <c r="HI302" s="21"/>
      <c r="HJ302" s="21"/>
      <c r="HK302" s="21"/>
      <c r="HL302" s="21"/>
      <c r="HM302" s="21"/>
      <c r="HN302" s="21"/>
      <c r="HO302" s="21"/>
      <c r="HP302" s="21"/>
      <c r="HQ302" s="21"/>
      <c r="HR302" s="21"/>
      <c r="HS302" s="21"/>
      <c r="HT302" s="21"/>
      <c r="HU302" s="21"/>
      <c r="HV302" s="21"/>
      <c r="HW302" s="21"/>
      <c r="HX302" s="21"/>
      <c r="HY302" s="21"/>
      <c r="HZ302" s="21"/>
      <c r="IA302" s="21"/>
      <c r="IB302" s="21"/>
      <c r="IC302" s="21"/>
      <c r="ID302" s="21"/>
      <c r="IE302" s="21"/>
      <c r="IF302" s="21"/>
      <c r="IG302" s="21"/>
      <c r="IH302" s="21"/>
      <c r="II302" s="21"/>
      <c r="IJ302" s="21"/>
      <c r="IK302" s="21"/>
      <c r="IL302" s="21"/>
      <c r="IM302" s="21"/>
      <c r="IN302" s="21"/>
      <c r="IO302" s="21"/>
      <c r="IP302" s="21"/>
      <c r="IQ302" s="21"/>
      <c r="IR302" s="21"/>
      <c r="IS302" s="21"/>
      <c r="IT302" s="21"/>
    </row>
    <row r="303" spans="1:254" s="3" customFormat="1" ht="27" customHeight="1">
      <c r="A303" s="11">
        <v>301</v>
      </c>
      <c r="B303" s="13" t="str">
        <f>"翁良宇"</f>
        <v>翁良宇</v>
      </c>
      <c r="C303" s="13" t="s">
        <v>21</v>
      </c>
      <c r="D303" s="13" t="str">
        <f>"230702202304"</f>
        <v>230702202304</v>
      </c>
      <c r="E303" s="18">
        <v>67.36500000000001</v>
      </c>
      <c r="F303" s="19" t="s">
        <v>10</v>
      </c>
      <c r="G303" s="19" t="s">
        <v>10</v>
      </c>
      <c r="H303" s="18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  <c r="FA303" s="20"/>
      <c r="FB303" s="20"/>
      <c r="FC303" s="20"/>
      <c r="FD303" s="20"/>
      <c r="FE303" s="20"/>
      <c r="FF303" s="20"/>
      <c r="FG303" s="20"/>
      <c r="FH303" s="20"/>
      <c r="FI303" s="20"/>
      <c r="FJ303" s="20"/>
      <c r="FK303" s="20"/>
      <c r="FL303" s="20"/>
      <c r="FM303" s="20"/>
      <c r="FN303" s="20"/>
      <c r="FO303" s="20"/>
      <c r="FP303" s="20"/>
      <c r="FQ303" s="20"/>
      <c r="FR303" s="20"/>
      <c r="FS303" s="20"/>
      <c r="FT303" s="20"/>
      <c r="FU303" s="20"/>
      <c r="FV303" s="20"/>
      <c r="FW303" s="20"/>
      <c r="FX303" s="20"/>
      <c r="FY303" s="20"/>
      <c r="FZ303" s="20"/>
      <c r="GA303" s="20"/>
      <c r="GB303" s="20"/>
      <c r="GC303" s="20"/>
      <c r="GD303" s="20"/>
      <c r="GE303" s="20"/>
      <c r="GF303" s="20"/>
      <c r="GG303" s="20"/>
      <c r="GH303" s="20"/>
      <c r="GI303" s="20"/>
      <c r="GJ303" s="20"/>
      <c r="GK303" s="20"/>
      <c r="GL303" s="20"/>
      <c r="GM303" s="20"/>
      <c r="GN303" s="20"/>
      <c r="GO303" s="20"/>
      <c r="GP303" s="20"/>
      <c r="GQ303" s="20"/>
      <c r="GR303" s="20"/>
      <c r="GS303" s="20"/>
      <c r="GT303" s="21"/>
      <c r="GU303" s="21"/>
      <c r="GV303" s="21"/>
      <c r="GW303" s="21"/>
      <c r="GX303" s="21"/>
      <c r="GY303" s="21"/>
      <c r="GZ303" s="21"/>
      <c r="HA303" s="21"/>
      <c r="HB303" s="21"/>
      <c r="HC303" s="21"/>
      <c r="HD303" s="21"/>
      <c r="HE303" s="21"/>
      <c r="HF303" s="21"/>
      <c r="HG303" s="21"/>
      <c r="HH303" s="21"/>
      <c r="HI303" s="21"/>
      <c r="HJ303" s="21"/>
      <c r="HK303" s="21"/>
      <c r="HL303" s="21"/>
      <c r="HM303" s="21"/>
      <c r="HN303" s="21"/>
      <c r="HO303" s="21"/>
      <c r="HP303" s="21"/>
      <c r="HQ303" s="21"/>
      <c r="HR303" s="21"/>
      <c r="HS303" s="21"/>
      <c r="HT303" s="21"/>
      <c r="HU303" s="21"/>
      <c r="HV303" s="21"/>
      <c r="HW303" s="21"/>
      <c r="HX303" s="21"/>
      <c r="HY303" s="21"/>
      <c r="HZ303" s="21"/>
      <c r="IA303" s="21"/>
      <c r="IB303" s="21"/>
      <c r="IC303" s="21"/>
      <c r="ID303" s="21"/>
      <c r="IE303" s="21"/>
      <c r="IF303" s="21"/>
      <c r="IG303" s="21"/>
      <c r="IH303" s="21"/>
      <c r="II303" s="21"/>
      <c r="IJ303" s="21"/>
      <c r="IK303" s="21"/>
      <c r="IL303" s="21"/>
      <c r="IM303" s="21"/>
      <c r="IN303" s="21"/>
      <c r="IO303" s="21"/>
      <c r="IP303" s="21"/>
      <c r="IQ303" s="21"/>
      <c r="IR303" s="21"/>
      <c r="IS303" s="21"/>
      <c r="IT303" s="21"/>
    </row>
    <row r="304" spans="1:254" s="3" customFormat="1" ht="27" customHeight="1">
      <c r="A304" s="11">
        <v>302</v>
      </c>
      <c r="B304" s="13" t="str">
        <f>"麦海宾"</f>
        <v>麦海宾</v>
      </c>
      <c r="C304" s="13" t="s">
        <v>21</v>
      </c>
      <c r="D304" s="13" t="str">
        <f>"230702202712"</f>
        <v>230702202712</v>
      </c>
      <c r="E304" s="18">
        <v>67.015</v>
      </c>
      <c r="F304" s="19" t="s">
        <v>10</v>
      </c>
      <c r="G304" s="19" t="s">
        <v>10</v>
      </c>
      <c r="H304" s="18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0"/>
      <c r="DF304" s="20"/>
      <c r="DG304" s="20"/>
      <c r="DH304" s="20"/>
      <c r="DI304" s="20"/>
      <c r="DJ304" s="20"/>
      <c r="DK304" s="20"/>
      <c r="DL304" s="20"/>
      <c r="DM304" s="20"/>
      <c r="DN304" s="20"/>
      <c r="DO304" s="20"/>
      <c r="DP304" s="20"/>
      <c r="DQ304" s="20"/>
      <c r="DR304" s="20"/>
      <c r="DS304" s="20"/>
      <c r="DT304" s="20"/>
      <c r="DU304" s="20"/>
      <c r="DV304" s="20"/>
      <c r="DW304" s="20"/>
      <c r="DX304" s="20"/>
      <c r="DY304" s="20"/>
      <c r="DZ304" s="20"/>
      <c r="EA304" s="20"/>
      <c r="EB304" s="20"/>
      <c r="EC304" s="20"/>
      <c r="ED304" s="20"/>
      <c r="EE304" s="20"/>
      <c r="EF304" s="20"/>
      <c r="EG304" s="20"/>
      <c r="EH304" s="20"/>
      <c r="EI304" s="20"/>
      <c r="EJ304" s="20"/>
      <c r="EK304" s="20"/>
      <c r="EL304" s="20"/>
      <c r="EM304" s="20"/>
      <c r="EN304" s="20"/>
      <c r="EO304" s="20"/>
      <c r="EP304" s="20"/>
      <c r="EQ304" s="20"/>
      <c r="ER304" s="20"/>
      <c r="ES304" s="20"/>
      <c r="ET304" s="20"/>
      <c r="EU304" s="20"/>
      <c r="EV304" s="20"/>
      <c r="EW304" s="20"/>
      <c r="EX304" s="20"/>
      <c r="EY304" s="20"/>
      <c r="EZ304" s="20"/>
      <c r="FA304" s="20"/>
      <c r="FB304" s="20"/>
      <c r="FC304" s="20"/>
      <c r="FD304" s="20"/>
      <c r="FE304" s="20"/>
      <c r="FF304" s="20"/>
      <c r="FG304" s="20"/>
      <c r="FH304" s="20"/>
      <c r="FI304" s="20"/>
      <c r="FJ304" s="20"/>
      <c r="FK304" s="20"/>
      <c r="FL304" s="20"/>
      <c r="FM304" s="20"/>
      <c r="FN304" s="20"/>
      <c r="FO304" s="20"/>
      <c r="FP304" s="20"/>
      <c r="FQ304" s="20"/>
      <c r="FR304" s="20"/>
      <c r="FS304" s="20"/>
      <c r="FT304" s="20"/>
      <c r="FU304" s="20"/>
      <c r="FV304" s="20"/>
      <c r="FW304" s="20"/>
      <c r="FX304" s="20"/>
      <c r="FY304" s="20"/>
      <c r="FZ304" s="20"/>
      <c r="GA304" s="20"/>
      <c r="GB304" s="20"/>
      <c r="GC304" s="20"/>
      <c r="GD304" s="20"/>
      <c r="GE304" s="20"/>
      <c r="GF304" s="20"/>
      <c r="GG304" s="20"/>
      <c r="GH304" s="20"/>
      <c r="GI304" s="20"/>
      <c r="GJ304" s="20"/>
      <c r="GK304" s="20"/>
      <c r="GL304" s="20"/>
      <c r="GM304" s="20"/>
      <c r="GN304" s="20"/>
      <c r="GO304" s="20"/>
      <c r="GP304" s="20"/>
      <c r="GQ304" s="20"/>
      <c r="GR304" s="20"/>
      <c r="GS304" s="20"/>
      <c r="GT304" s="21"/>
      <c r="GU304" s="21"/>
      <c r="GV304" s="21"/>
      <c r="GW304" s="21"/>
      <c r="GX304" s="21"/>
      <c r="GY304" s="21"/>
      <c r="GZ304" s="21"/>
      <c r="HA304" s="21"/>
      <c r="HB304" s="21"/>
      <c r="HC304" s="21"/>
      <c r="HD304" s="21"/>
      <c r="HE304" s="21"/>
      <c r="HF304" s="21"/>
      <c r="HG304" s="21"/>
      <c r="HH304" s="21"/>
      <c r="HI304" s="21"/>
      <c r="HJ304" s="21"/>
      <c r="HK304" s="21"/>
      <c r="HL304" s="21"/>
      <c r="HM304" s="21"/>
      <c r="HN304" s="21"/>
      <c r="HO304" s="21"/>
      <c r="HP304" s="21"/>
      <c r="HQ304" s="21"/>
      <c r="HR304" s="21"/>
      <c r="HS304" s="21"/>
      <c r="HT304" s="21"/>
      <c r="HU304" s="21"/>
      <c r="HV304" s="21"/>
      <c r="HW304" s="21"/>
      <c r="HX304" s="21"/>
      <c r="HY304" s="21"/>
      <c r="HZ304" s="21"/>
      <c r="IA304" s="21"/>
      <c r="IB304" s="21"/>
      <c r="IC304" s="21"/>
      <c r="ID304" s="21"/>
      <c r="IE304" s="21"/>
      <c r="IF304" s="21"/>
      <c r="IG304" s="21"/>
      <c r="IH304" s="21"/>
      <c r="II304" s="21"/>
      <c r="IJ304" s="21"/>
      <c r="IK304" s="21"/>
      <c r="IL304" s="21"/>
      <c r="IM304" s="21"/>
      <c r="IN304" s="21"/>
      <c r="IO304" s="21"/>
      <c r="IP304" s="21"/>
      <c r="IQ304" s="21"/>
      <c r="IR304" s="21"/>
      <c r="IS304" s="21"/>
      <c r="IT304" s="21"/>
    </row>
    <row r="305" spans="1:254" s="3" customFormat="1" ht="27" customHeight="1">
      <c r="A305" s="11">
        <v>303</v>
      </c>
      <c r="B305" s="13" t="str">
        <f>"钟光滨"</f>
        <v>钟光滨</v>
      </c>
      <c r="C305" s="13" t="s">
        <v>21</v>
      </c>
      <c r="D305" s="13" t="str">
        <f>"230702201810"</f>
        <v>230702201810</v>
      </c>
      <c r="E305" s="18">
        <v>65.485</v>
      </c>
      <c r="F305" s="19" t="s">
        <v>10</v>
      </c>
      <c r="G305" s="19" t="s">
        <v>10</v>
      </c>
      <c r="H305" s="18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  <c r="DI305" s="20"/>
      <c r="DJ305" s="20"/>
      <c r="DK305" s="20"/>
      <c r="DL305" s="20"/>
      <c r="DM305" s="20"/>
      <c r="DN305" s="20"/>
      <c r="DO305" s="20"/>
      <c r="DP305" s="20"/>
      <c r="DQ305" s="20"/>
      <c r="DR305" s="20"/>
      <c r="DS305" s="20"/>
      <c r="DT305" s="20"/>
      <c r="DU305" s="20"/>
      <c r="DV305" s="20"/>
      <c r="DW305" s="20"/>
      <c r="DX305" s="20"/>
      <c r="DY305" s="20"/>
      <c r="DZ305" s="20"/>
      <c r="EA305" s="20"/>
      <c r="EB305" s="20"/>
      <c r="EC305" s="20"/>
      <c r="ED305" s="20"/>
      <c r="EE305" s="20"/>
      <c r="EF305" s="20"/>
      <c r="EG305" s="20"/>
      <c r="EH305" s="20"/>
      <c r="EI305" s="20"/>
      <c r="EJ305" s="20"/>
      <c r="EK305" s="20"/>
      <c r="EL305" s="20"/>
      <c r="EM305" s="20"/>
      <c r="EN305" s="20"/>
      <c r="EO305" s="20"/>
      <c r="EP305" s="20"/>
      <c r="EQ305" s="20"/>
      <c r="ER305" s="20"/>
      <c r="ES305" s="20"/>
      <c r="ET305" s="20"/>
      <c r="EU305" s="20"/>
      <c r="EV305" s="20"/>
      <c r="EW305" s="20"/>
      <c r="EX305" s="20"/>
      <c r="EY305" s="20"/>
      <c r="EZ305" s="20"/>
      <c r="FA305" s="20"/>
      <c r="FB305" s="20"/>
      <c r="FC305" s="20"/>
      <c r="FD305" s="20"/>
      <c r="FE305" s="20"/>
      <c r="FF305" s="20"/>
      <c r="FG305" s="20"/>
      <c r="FH305" s="20"/>
      <c r="FI305" s="20"/>
      <c r="FJ305" s="20"/>
      <c r="FK305" s="20"/>
      <c r="FL305" s="20"/>
      <c r="FM305" s="20"/>
      <c r="FN305" s="20"/>
      <c r="FO305" s="20"/>
      <c r="FP305" s="20"/>
      <c r="FQ305" s="20"/>
      <c r="FR305" s="20"/>
      <c r="FS305" s="20"/>
      <c r="FT305" s="20"/>
      <c r="FU305" s="20"/>
      <c r="FV305" s="20"/>
      <c r="FW305" s="20"/>
      <c r="FX305" s="20"/>
      <c r="FY305" s="20"/>
      <c r="FZ305" s="20"/>
      <c r="GA305" s="20"/>
      <c r="GB305" s="20"/>
      <c r="GC305" s="20"/>
      <c r="GD305" s="20"/>
      <c r="GE305" s="20"/>
      <c r="GF305" s="20"/>
      <c r="GG305" s="20"/>
      <c r="GH305" s="20"/>
      <c r="GI305" s="20"/>
      <c r="GJ305" s="20"/>
      <c r="GK305" s="20"/>
      <c r="GL305" s="20"/>
      <c r="GM305" s="20"/>
      <c r="GN305" s="20"/>
      <c r="GO305" s="20"/>
      <c r="GP305" s="20"/>
      <c r="GQ305" s="20"/>
      <c r="GR305" s="20"/>
      <c r="GS305" s="20"/>
      <c r="GT305" s="21"/>
      <c r="GU305" s="21"/>
      <c r="GV305" s="21"/>
      <c r="GW305" s="21"/>
      <c r="GX305" s="21"/>
      <c r="GY305" s="21"/>
      <c r="GZ305" s="21"/>
      <c r="HA305" s="21"/>
      <c r="HB305" s="21"/>
      <c r="HC305" s="21"/>
      <c r="HD305" s="21"/>
      <c r="HE305" s="21"/>
      <c r="HF305" s="21"/>
      <c r="HG305" s="21"/>
      <c r="HH305" s="21"/>
      <c r="HI305" s="21"/>
      <c r="HJ305" s="21"/>
      <c r="HK305" s="21"/>
      <c r="HL305" s="21"/>
      <c r="HM305" s="21"/>
      <c r="HN305" s="21"/>
      <c r="HO305" s="21"/>
      <c r="HP305" s="21"/>
      <c r="HQ305" s="21"/>
      <c r="HR305" s="21"/>
      <c r="HS305" s="21"/>
      <c r="HT305" s="21"/>
      <c r="HU305" s="21"/>
      <c r="HV305" s="21"/>
      <c r="HW305" s="21"/>
      <c r="HX305" s="21"/>
      <c r="HY305" s="21"/>
      <c r="HZ305" s="21"/>
      <c r="IA305" s="21"/>
      <c r="IB305" s="21"/>
      <c r="IC305" s="21"/>
      <c r="ID305" s="21"/>
      <c r="IE305" s="21"/>
      <c r="IF305" s="21"/>
      <c r="IG305" s="21"/>
      <c r="IH305" s="21"/>
      <c r="II305" s="21"/>
      <c r="IJ305" s="21"/>
      <c r="IK305" s="21"/>
      <c r="IL305" s="21"/>
      <c r="IM305" s="21"/>
      <c r="IN305" s="21"/>
      <c r="IO305" s="21"/>
      <c r="IP305" s="21"/>
      <c r="IQ305" s="21"/>
      <c r="IR305" s="21"/>
      <c r="IS305" s="21"/>
      <c r="IT305" s="21"/>
    </row>
    <row r="306" spans="1:254" s="3" customFormat="1" ht="27" customHeight="1">
      <c r="A306" s="11">
        <v>304</v>
      </c>
      <c r="B306" s="13" t="str">
        <f>"黄家辉"</f>
        <v>黄家辉</v>
      </c>
      <c r="C306" s="13" t="s">
        <v>21</v>
      </c>
      <c r="D306" s="13" t="str">
        <f>"230702201829"</f>
        <v>230702201829</v>
      </c>
      <c r="E306" s="18">
        <v>65.45</v>
      </c>
      <c r="F306" s="19" t="s">
        <v>10</v>
      </c>
      <c r="G306" s="19" t="s">
        <v>10</v>
      </c>
      <c r="H306" s="18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  <c r="DE306" s="20"/>
      <c r="DF306" s="20"/>
      <c r="DG306" s="20"/>
      <c r="DH306" s="20"/>
      <c r="DI306" s="20"/>
      <c r="DJ306" s="20"/>
      <c r="DK306" s="20"/>
      <c r="DL306" s="20"/>
      <c r="DM306" s="20"/>
      <c r="DN306" s="20"/>
      <c r="DO306" s="20"/>
      <c r="DP306" s="20"/>
      <c r="DQ306" s="20"/>
      <c r="DR306" s="20"/>
      <c r="DS306" s="20"/>
      <c r="DT306" s="20"/>
      <c r="DU306" s="20"/>
      <c r="DV306" s="20"/>
      <c r="DW306" s="20"/>
      <c r="DX306" s="20"/>
      <c r="DY306" s="20"/>
      <c r="DZ306" s="20"/>
      <c r="EA306" s="20"/>
      <c r="EB306" s="20"/>
      <c r="EC306" s="20"/>
      <c r="ED306" s="20"/>
      <c r="EE306" s="20"/>
      <c r="EF306" s="20"/>
      <c r="EG306" s="20"/>
      <c r="EH306" s="20"/>
      <c r="EI306" s="20"/>
      <c r="EJ306" s="20"/>
      <c r="EK306" s="20"/>
      <c r="EL306" s="20"/>
      <c r="EM306" s="20"/>
      <c r="EN306" s="20"/>
      <c r="EO306" s="20"/>
      <c r="EP306" s="20"/>
      <c r="EQ306" s="20"/>
      <c r="ER306" s="20"/>
      <c r="ES306" s="20"/>
      <c r="ET306" s="20"/>
      <c r="EU306" s="20"/>
      <c r="EV306" s="20"/>
      <c r="EW306" s="20"/>
      <c r="EX306" s="20"/>
      <c r="EY306" s="20"/>
      <c r="EZ306" s="20"/>
      <c r="FA306" s="20"/>
      <c r="FB306" s="20"/>
      <c r="FC306" s="20"/>
      <c r="FD306" s="20"/>
      <c r="FE306" s="20"/>
      <c r="FF306" s="20"/>
      <c r="FG306" s="20"/>
      <c r="FH306" s="20"/>
      <c r="FI306" s="20"/>
      <c r="FJ306" s="20"/>
      <c r="FK306" s="20"/>
      <c r="FL306" s="20"/>
      <c r="FM306" s="20"/>
      <c r="FN306" s="20"/>
      <c r="FO306" s="20"/>
      <c r="FP306" s="20"/>
      <c r="FQ306" s="20"/>
      <c r="FR306" s="20"/>
      <c r="FS306" s="20"/>
      <c r="FT306" s="20"/>
      <c r="FU306" s="20"/>
      <c r="FV306" s="20"/>
      <c r="FW306" s="20"/>
      <c r="FX306" s="20"/>
      <c r="FY306" s="20"/>
      <c r="FZ306" s="20"/>
      <c r="GA306" s="20"/>
      <c r="GB306" s="20"/>
      <c r="GC306" s="20"/>
      <c r="GD306" s="20"/>
      <c r="GE306" s="20"/>
      <c r="GF306" s="20"/>
      <c r="GG306" s="20"/>
      <c r="GH306" s="20"/>
      <c r="GI306" s="20"/>
      <c r="GJ306" s="20"/>
      <c r="GK306" s="20"/>
      <c r="GL306" s="20"/>
      <c r="GM306" s="20"/>
      <c r="GN306" s="20"/>
      <c r="GO306" s="20"/>
      <c r="GP306" s="20"/>
      <c r="GQ306" s="20"/>
      <c r="GR306" s="20"/>
      <c r="GS306" s="20"/>
      <c r="GT306" s="21"/>
      <c r="GU306" s="21"/>
      <c r="GV306" s="21"/>
      <c r="GW306" s="21"/>
      <c r="GX306" s="21"/>
      <c r="GY306" s="21"/>
      <c r="GZ306" s="21"/>
      <c r="HA306" s="21"/>
      <c r="HB306" s="21"/>
      <c r="HC306" s="21"/>
      <c r="HD306" s="21"/>
      <c r="HE306" s="21"/>
      <c r="HF306" s="21"/>
      <c r="HG306" s="21"/>
      <c r="HH306" s="21"/>
      <c r="HI306" s="21"/>
      <c r="HJ306" s="21"/>
      <c r="HK306" s="21"/>
      <c r="HL306" s="21"/>
      <c r="HM306" s="21"/>
      <c r="HN306" s="21"/>
      <c r="HO306" s="21"/>
      <c r="HP306" s="21"/>
      <c r="HQ306" s="21"/>
      <c r="HR306" s="21"/>
      <c r="HS306" s="21"/>
      <c r="HT306" s="21"/>
      <c r="HU306" s="21"/>
      <c r="HV306" s="21"/>
      <c r="HW306" s="21"/>
      <c r="HX306" s="21"/>
      <c r="HY306" s="21"/>
      <c r="HZ306" s="21"/>
      <c r="IA306" s="21"/>
      <c r="IB306" s="21"/>
      <c r="IC306" s="21"/>
      <c r="ID306" s="21"/>
      <c r="IE306" s="21"/>
      <c r="IF306" s="21"/>
      <c r="IG306" s="21"/>
      <c r="IH306" s="21"/>
      <c r="II306" s="21"/>
      <c r="IJ306" s="21"/>
      <c r="IK306" s="21"/>
      <c r="IL306" s="21"/>
      <c r="IM306" s="21"/>
      <c r="IN306" s="21"/>
      <c r="IO306" s="21"/>
      <c r="IP306" s="21"/>
      <c r="IQ306" s="21"/>
      <c r="IR306" s="21"/>
      <c r="IS306" s="21"/>
      <c r="IT306" s="21"/>
    </row>
    <row r="307" spans="1:254" s="3" customFormat="1" ht="27" customHeight="1">
      <c r="A307" s="11">
        <v>305</v>
      </c>
      <c r="B307" s="13" t="str">
        <f>"曾正发"</f>
        <v>曾正发</v>
      </c>
      <c r="C307" s="13" t="s">
        <v>21</v>
      </c>
      <c r="D307" s="13" t="str">
        <f>"230702202513"</f>
        <v>230702202513</v>
      </c>
      <c r="E307" s="18">
        <v>64.85</v>
      </c>
      <c r="F307" s="19" t="s">
        <v>10</v>
      </c>
      <c r="G307" s="19" t="s">
        <v>10</v>
      </c>
      <c r="H307" s="18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  <c r="DI307" s="20"/>
      <c r="DJ307" s="20"/>
      <c r="DK307" s="20"/>
      <c r="DL307" s="20"/>
      <c r="DM307" s="20"/>
      <c r="DN307" s="20"/>
      <c r="DO307" s="20"/>
      <c r="DP307" s="20"/>
      <c r="DQ307" s="20"/>
      <c r="DR307" s="20"/>
      <c r="DS307" s="20"/>
      <c r="DT307" s="20"/>
      <c r="DU307" s="20"/>
      <c r="DV307" s="20"/>
      <c r="DW307" s="20"/>
      <c r="DX307" s="20"/>
      <c r="DY307" s="20"/>
      <c r="DZ307" s="20"/>
      <c r="EA307" s="20"/>
      <c r="EB307" s="20"/>
      <c r="EC307" s="20"/>
      <c r="ED307" s="20"/>
      <c r="EE307" s="20"/>
      <c r="EF307" s="20"/>
      <c r="EG307" s="20"/>
      <c r="EH307" s="20"/>
      <c r="EI307" s="20"/>
      <c r="EJ307" s="20"/>
      <c r="EK307" s="20"/>
      <c r="EL307" s="20"/>
      <c r="EM307" s="20"/>
      <c r="EN307" s="20"/>
      <c r="EO307" s="20"/>
      <c r="EP307" s="20"/>
      <c r="EQ307" s="20"/>
      <c r="ER307" s="20"/>
      <c r="ES307" s="20"/>
      <c r="ET307" s="20"/>
      <c r="EU307" s="20"/>
      <c r="EV307" s="20"/>
      <c r="EW307" s="20"/>
      <c r="EX307" s="20"/>
      <c r="EY307" s="20"/>
      <c r="EZ307" s="20"/>
      <c r="FA307" s="20"/>
      <c r="FB307" s="20"/>
      <c r="FC307" s="20"/>
      <c r="FD307" s="20"/>
      <c r="FE307" s="20"/>
      <c r="FF307" s="20"/>
      <c r="FG307" s="20"/>
      <c r="FH307" s="20"/>
      <c r="FI307" s="20"/>
      <c r="FJ307" s="20"/>
      <c r="FK307" s="20"/>
      <c r="FL307" s="20"/>
      <c r="FM307" s="20"/>
      <c r="FN307" s="20"/>
      <c r="FO307" s="20"/>
      <c r="FP307" s="20"/>
      <c r="FQ307" s="20"/>
      <c r="FR307" s="20"/>
      <c r="FS307" s="20"/>
      <c r="FT307" s="20"/>
      <c r="FU307" s="20"/>
      <c r="FV307" s="20"/>
      <c r="FW307" s="20"/>
      <c r="FX307" s="20"/>
      <c r="FY307" s="20"/>
      <c r="FZ307" s="20"/>
      <c r="GA307" s="20"/>
      <c r="GB307" s="20"/>
      <c r="GC307" s="20"/>
      <c r="GD307" s="20"/>
      <c r="GE307" s="20"/>
      <c r="GF307" s="20"/>
      <c r="GG307" s="20"/>
      <c r="GH307" s="20"/>
      <c r="GI307" s="20"/>
      <c r="GJ307" s="20"/>
      <c r="GK307" s="20"/>
      <c r="GL307" s="20"/>
      <c r="GM307" s="20"/>
      <c r="GN307" s="20"/>
      <c r="GO307" s="20"/>
      <c r="GP307" s="20"/>
      <c r="GQ307" s="20"/>
      <c r="GR307" s="20"/>
      <c r="GS307" s="20"/>
      <c r="GT307" s="21"/>
      <c r="GU307" s="21"/>
      <c r="GV307" s="21"/>
      <c r="GW307" s="21"/>
      <c r="GX307" s="21"/>
      <c r="GY307" s="21"/>
      <c r="GZ307" s="21"/>
      <c r="HA307" s="21"/>
      <c r="HB307" s="21"/>
      <c r="HC307" s="21"/>
      <c r="HD307" s="21"/>
      <c r="HE307" s="21"/>
      <c r="HF307" s="21"/>
      <c r="HG307" s="21"/>
      <c r="HH307" s="21"/>
      <c r="HI307" s="21"/>
      <c r="HJ307" s="21"/>
      <c r="HK307" s="21"/>
      <c r="HL307" s="21"/>
      <c r="HM307" s="21"/>
      <c r="HN307" s="21"/>
      <c r="HO307" s="21"/>
      <c r="HP307" s="21"/>
      <c r="HQ307" s="21"/>
      <c r="HR307" s="21"/>
      <c r="HS307" s="21"/>
      <c r="HT307" s="21"/>
      <c r="HU307" s="21"/>
      <c r="HV307" s="21"/>
      <c r="HW307" s="21"/>
      <c r="HX307" s="21"/>
      <c r="HY307" s="21"/>
      <c r="HZ307" s="21"/>
      <c r="IA307" s="21"/>
      <c r="IB307" s="21"/>
      <c r="IC307" s="21"/>
      <c r="ID307" s="21"/>
      <c r="IE307" s="21"/>
      <c r="IF307" s="21"/>
      <c r="IG307" s="21"/>
      <c r="IH307" s="21"/>
      <c r="II307" s="21"/>
      <c r="IJ307" s="21"/>
      <c r="IK307" s="21"/>
      <c r="IL307" s="21"/>
      <c r="IM307" s="21"/>
      <c r="IN307" s="21"/>
      <c r="IO307" s="21"/>
      <c r="IP307" s="21"/>
      <c r="IQ307" s="21"/>
      <c r="IR307" s="21"/>
      <c r="IS307" s="21"/>
      <c r="IT307" s="21"/>
    </row>
    <row r="308" spans="1:254" s="3" customFormat="1" ht="27" customHeight="1">
      <c r="A308" s="11">
        <v>306</v>
      </c>
      <c r="B308" s="13" t="str">
        <f>"何坚"</f>
        <v>何坚</v>
      </c>
      <c r="C308" s="13" t="s">
        <v>21</v>
      </c>
      <c r="D308" s="13" t="str">
        <f>"230702202306"</f>
        <v>230702202306</v>
      </c>
      <c r="E308" s="18">
        <v>64.8365</v>
      </c>
      <c r="F308" s="19" t="s">
        <v>10</v>
      </c>
      <c r="G308" s="19" t="s">
        <v>10</v>
      </c>
      <c r="H308" s="18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  <c r="DB308" s="20"/>
      <c r="DC308" s="20"/>
      <c r="DD308" s="20"/>
      <c r="DE308" s="20"/>
      <c r="DF308" s="20"/>
      <c r="DG308" s="20"/>
      <c r="DH308" s="20"/>
      <c r="DI308" s="20"/>
      <c r="DJ308" s="20"/>
      <c r="DK308" s="20"/>
      <c r="DL308" s="20"/>
      <c r="DM308" s="20"/>
      <c r="DN308" s="20"/>
      <c r="DO308" s="20"/>
      <c r="DP308" s="20"/>
      <c r="DQ308" s="20"/>
      <c r="DR308" s="20"/>
      <c r="DS308" s="20"/>
      <c r="DT308" s="20"/>
      <c r="DU308" s="20"/>
      <c r="DV308" s="20"/>
      <c r="DW308" s="20"/>
      <c r="DX308" s="20"/>
      <c r="DY308" s="20"/>
      <c r="DZ308" s="20"/>
      <c r="EA308" s="20"/>
      <c r="EB308" s="20"/>
      <c r="EC308" s="20"/>
      <c r="ED308" s="20"/>
      <c r="EE308" s="20"/>
      <c r="EF308" s="20"/>
      <c r="EG308" s="20"/>
      <c r="EH308" s="20"/>
      <c r="EI308" s="20"/>
      <c r="EJ308" s="20"/>
      <c r="EK308" s="20"/>
      <c r="EL308" s="20"/>
      <c r="EM308" s="20"/>
      <c r="EN308" s="20"/>
      <c r="EO308" s="20"/>
      <c r="EP308" s="20"/>
      <c r="EQ308" s="20"/>
      <c r="ER308" s="20"/>
      <c r="ES308" s="20"/>
      <c r="ET308" s="20"/>
      <c r="EU308" s="20"/>
      <c r="EV308" s="20"/>
      <c r="EW308" s="20"/>
      <c r="EX308" s="20"/>
      <c r="EY308" s="20"/>
      <c r="EZ308" s="20"/>
      <c r="FA308" s="20"/>
      <c r="FB308" s="20"/>
      <c r="FC308" s="20"/>
      <c r="FD308" s="20"/>
      <c r="FE308" s="20"/>
      <c r="FF308" s="20"/>
      <c r="FG308" s="20"/>
      <c r="FH308" s="20"/>
      <c r="FI308" s="20"/>
      <c r="FJ308" s="20"/>
      <c r="FK308" s="20"/>
      <c r="FL308" s="20"/>
      <c r="FM308" s="20"/>
      <c r="FN308" s="20"/>
      <c r="FO308" s="20"/>
      <c r="FP308" s="20"/>
      <c r="FQ308" s="20"/>
      <c r="FR308" s="20"/>
      <c r="FS308" s="20"/>
      <c r="FT308" s="20"/>
      <c r="FU308" s="20"/>
      <c r="FV308" s="20"/>
      <c r="FW308" s="20"/>
      <c r="FX308" s="20"/>
      <c r="FY308" s="20"/>
      <c r="FZ308" s="20"/>
      <c r="GA308" s="20"/>
      <c r="GB308" s="20"/>
      <c r="GC308" s="20"/>
      <c r="GD308" s="20"/>
      <c r="GE308" s="20"/>
      <c r="GF308" s="20"/>
      <c r="GG308" s="20"/>
      <c r="GH308" s="20"/>
      <c r="GI308" s="20"/>
      <c r="GJ308" s="20"/>
      <c r="GK308" s="20"/>
      <c r="GL308" s="20"/>
      <c r="GM308" s="20"/>
      <c r="GN308" s="20"/>
      <c r="GO308" s="20"/>
      <c r="GP308" s="20"/>
      <c r="GQ308" s="20"/>
      <c r="GR308" s="20"/>
      <c r="GS308" s="20"/>
      <c r="GT308" s="21"/>
      <c r="GU308" s="21"/>
      <c r="GV308" s="21"/>
      <c r="GW308" s="21"/>
      <c r="GX308" s="21"/>
      <c r="GY308" s="21"/>
      <c r="GZ308" s="21"/>
      <c r="HA308" s="21"/>
      <c r="HB308" s="21"/>
      <c r="HC308" s="21"/>
      <c r="HD308" s="21"/>
      <c r="HE308" s="21"/>
      <c r="HF308" s="21"/>
      <c r="HG308" s="21"/>
      <c r="HH308" s="21"/>
      <c r="HI308" s="21"/>
      <c r="HJ308" s="21"/>
      <c r="HK308" s="21"/>
      <c r="HL308" s="21"/>
      <c r="HM308" s="21"/>
      <c r="HN308" s="21"/>
      <c r="HO308" s="21"/>
      <c r="HP308" s="21"/>
      <c r="HQ308" s="21"/>
      <c r="HR308" s="21"/>
      <c r="HS308" s="21"/>
      <c r="HT308" s="21"/>
      <c r="HU308" s="21"/>
      <c r="HV308" s="21"/>
      <c r="HW308" s="21"/>
      <c r="HX308" s="21"/>
      <c r="HY308" s="21"/>
      <c r="HZ308" s="21"/>
      <c r="IA308" s="21"/>
      <c r="IB308" s="21"/>
      <c r="IC308" s="21"/>
      <c r="ID308" s="21"/>
      <c r="IE308" s="21"/>
      <c r="IF308" s="21"/>
      <c r="IG308" s="21"/>
      <c r="IH308" s="21"/>
      <c r="II308" s="21"/>
      <c r="IJ308" s="21"/>
      <c r="IK308" s="21"/>
      <c r="IL308" s="21"/>
      <c r="IM308" s="21"/>
      <c r="IN308" s="21"/>
      <c r="IO308" s="21"/>
      <c r="IP308" s="21"/>
      <c r="IQ308" s="21"/>
      <c r="IR308" s="21"/>
      <c r="IS308" s="21"/>
      <c r="IT308" s="21"/>
    </row>
    <row r="309" spans="1:254" s="3" customFormat="1" ht="27" customHeight="1">
      <c r="A309" s="11">
        <v>307</v>
      </c>
      <c r="B309" s="13" t="str">
        <f>"吴发宁"</f>
        <v>吴发宁</v>
      </c>
      <c r="C309" s="13" t="s">
        <v>21</v>
      </c>
      <c r="D309" s="13" t="str">
        <f>"230702202817"</f>
        <v>230702202817</v>
      </c>
      <c r="E309" s="18">
        <v>64.11500000000001</v>
      </c>
      <c r="F309" s="19" t="s">
        <v>10</v>
      </c>
      <c r="G309" s="19" t="s">
        <v>10</v>
      </c>
      <c r="H309" s="18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  <c r="DB309" s="20"/>
      <c r="DC309" s="20"/>
      <c r="DD309" s="20"/>
      <c r="DE309" s="20"/>
      <c r="DF309" s="20"/>
      <c r="DG309" s="20"/>
      <c r="DH309" s="20"/>
      <c r="DI309" s="20"/>
      <c r="DJ309" s="20"/>
      <c r="DK309" s="20"/>
      <c r="DL309" s="20"/>
      <c r="DM309" s="20"/>
      <c r="DN309" s="20"/>
      <c r="DO309" s="20"/>
      <c r="DP309" s="20"/>
      <c r="DQ309" s="20"/>
      <c r="DR309" s="20"/>
      <c r="DS309" s="20"/>
      <c r="DT309" s="20"/>
      <c r="DU309" s="20"/>
      <c r="DV309" s="20"/>
      <c r="DW309" s="20"/>
      <c r="DX309" s="20"/>
      <c r="DY309" s="20"/>
      <c r="DZ309" s="20"/>
      <c r="EA309" s="20"/>
      <c r="EB309" s="20"/>
      <c r="EC309" s="20"/>
      <c r="ED309" s="20"/>
      <c r="EE309" s="20"/>
      <c r="EF309" s="20"/>
      <c r="EG309" s="20"/>
      <c r="EH309" s="20"/>
      <c r="EI309" s="20"/>
      <c r="EJ309" s="20"/>
      <c r="EK309" s="20"/>
      <c r="EL309" s="20"/>
      <c r="EM309" s="20"/>
      <c r="EN309" s="20"/>
      <c r="EO309" s="20"/>
      <c r="EP309" s="20"/>
      <c r="EQ309" s="20"/>
      <c r="ER309" s="20"/>
      <c r="ES309" s="20"/>
      <c r="ET309" s="20"/>
      <c r="EU309" s="20"/>
      <c r="EV309" s="20"/>
      <c r="EW309" s="20"/>
      <c r="EX309" s="20"/>
      <c r="EY309" s="20"/>
      <c r="EZ309" s="20"/>
      <c r="FA309" s="20"/>
      <c r="FB309" s="20"/>
      <c r="FC309" s="20"/>
      <c r="FD309" s="20"/>
      <c r="FE309" s="20"/>
      <c r="FF309" s="20"/>
      <c r="FG309" s="20"/>
      <c r="FH309" s="20"/>
      <c r="FI309" s="20"/>
      <c r="FJ309" s="20"/>
      <c r="FK309" s="20"/>
      <c r="FL309" s="20"/>
      <c r="FM309" s="20"/>
      <c r="FN309" s="20"/>
      <c r="FO309" s="20"/>
      <c r="FP309" s="20"/>
      <c r="FQ309" s="20"/>
      <c r="FR309" s="20"/>
      <c r="FS309" s="20"/>
      <c r="FT309" s="20"/>
      <c r="FU309" s="20"/>
      <c r="FV309" s="20"/>
      <c r="FW309" s="20"/>
      <c r="FX309" s="20"/>
      <c r="FY309" s="20"/>
      <c r="FZ309" s="20"/>
      <c r="GA309" s="20"/>
      <c r="GB309" s="20"/>
      <c r="GC309" s="20"/>
      <c r="GD309" s="20"/>
      <c r="GE309" s="20"/>
      <c r="GF309" s="20"/>
      <c r="GG309" s="20"/>
      <c r="GH309" s="20"/>
      <c r="GI309" s="20"/>
      <c r="GJ309" s="20"/>
      <c r="GK309" s="20"/>
      <c r="GL309" s="20"/>
      <c r="GM309" s="20"/>
      <c r="GN309" s="20"/>
      <c r="GO309" s="20"/>
      <c r="GP309" s="20"/>
      <c r="GQ309" s="20"/>
      <c r="GR309" s="20"/>
      <c r="GS309" s="20"/>
      <c r="GT309" s="21"/>
      <c r="GU309" s="21"/>
      <c r="GV309" s="21"/>
      <c r="GW309" s="21"/>
      <c r="GX309" s="21"/>
      <c r="GY309" s="21"/>
      <c r="GZ309" s="21"/>
      <c r="HA309" s="21"/>
      <c r="HB309" s="21"/>
      <c r="HC309" s="21"/>
      <c r="HD309" s="21"/>
      <c r="HE309" s="21"/>
      <c r="HF309" s="21"/>
      <c r="HG309" s="21"/>
      <c r="HH309" s="21"/>
      <c r="HI309" s="21"/>
      <c r="HJ309" s="21"/>
      <c r="HK309" s="21"/>
      <c r="HL309" s="21"/>
      <c r="HM309" s="21"/>
      <c r="HN309" s="21"/>
      <c r="HO309" s="21"/>
      <c r="HP309" s="21"/>
      <c r="HQ309" s="21"/>
      <c r="HR309" s="21"/>
      <c r="HS309" s="21"/>
      <c r="HT309" s="21"/>
      <c r="HU309" s="21"/>
      <c r="HV309" s="21"/>
      <c r="HW309" s="21"/>
      <c r="HX309" s="21"/>
      <c r="HY309" s="21"/>
      <c r="HZ309" s="21"/>
      <c r="IA309" s="21"/>
      <c r="IB309" s="21"/>
      <c r="IC309" s="21"/>
      <c r="ID309" s="21"/>
      <c r="IE309" s="21"/>
      <c r="IF309" s="21"/>
      <c r="IG309" s="21"/>
      <c r="IH309" s="21"/>
      <c r="II309" s="21"/>
      <c r="IJ309" s="21"/>
      <c r="IK309" s="21"/>
      <c r="IL309" s="21"/>
      <c r="IM309" s="21"/>
      <c r="IN309" s="21"/>
      <c r="IO309" s="21"/>
      <c r="IP309" s="21"/>
      <c r="IQ309" s="21"/>
      <c r="IR309" s="21"/>
      <c r="IS309" s="21"/>
      <c r="IT309" s="21"/>
    </row>
    <row r="310" spans="1:254" s="3" customFormat="1" ht="27" customHeight="1">
      <c r="A310" s="11">
        <v>308</v>
      </c>
      <c r="B310" s="13" t="str">
        <f>"胡峤"</f>
        <v>胡峤</v>
      </c>
      <c r="C310" s="13" t="s">
        <v>21</v>
      </c>
      <c r="D310" s="13" t="str">
        <f>"230702202412"</f>
        <v>230702202412</v>
      </c>
      <c r="E310" s="18">
        <v>64.05</v>
      </c>
      <c r="F310" s="19" t="s">
        <v>10</v>
      </c>
      <c r="G310" s="19" t="s">
        <v>10</v>
      </c>
      <c r="H310" s="18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  <c r="DI310" s="20"/>
      <c r="DJ310" s="20"/>
      <c r="DK310" s="20"/>
      <c r="DL310" s="20"/>
      <c r="DM310" s="20"/>
      <c r="DN310" s="20"/>
      <c r="DO310" s="20"/>
      <c r="DP310" s="20"/>
      <c r="DQ310" s="20"/>
      <c r="DR310" s="20"/>
      <c r="DS310" s="20"/>
      <c r="DT310" s="20"/>
      <c r="DU310" s="20"/>
      <c r="DV310" s="20"/>
      <c r="DW310" s="20"/>
      <c r="DX310" s="20"/>
      <c r="DY310" s="20"/>
      <c r="DZ310" s="20"/>
      <c r="EA310" s="20"/>
      <c r="EB310" s="20"/>
      <c r="EC310" s="20"/>
      <c r="ED310" s="20"/>
      <c r="EE310" s="20"/>
      <c r="EF310" s="20"/>
      <c r="EG310" s="20"/>
      <c r="EH310" s="20"/>
      <c r="EI310" s="20"/>
      <c r="EJ310" s="20"/>
      <c r="EK310" s="20"/>
      <c r="EL310" s="20"/>
      <c r="EM310" s="20"/>
      <c r="EN310" s="20"/>
      <c r="EO310" s="20"/>
      <c r="EP310" s="20"/>
      <c r="EQ310" s="20"/>
      <c r="ER310" s="20"/>
      <c r="ES310" s="20"/>
      <c r="ET310" s="20"/>
      <c r="EU310" s="20"/>
      <c r="EV310" s="20"/>
      <c r="EW310" s="20"/>
      <c r="EX310" s="20"/>
      <c r="EY310" s="20"/>
      <c r="EZ310" s="20"/>
      <c r="FA310" s="20"/>
      <c r="FB310" s="20"/>
      <c r="FC310" s="20"/>
      <c r="FD310" s="20"/>
      <c r="FE310" s="20"/>
      <c r="FF310" s="20"/>
      <c r="FG310" s="20"/>
      <c r="FH310" s="20"/>
      <c r="FI310" s="20"/>
      <c r="FJ310" s="20"/>
      <c r="FK310" s="20"/>
      <c r="FL310" s="20"/>
      <c r="FM310" s="20"/>
      <c r="FN310" s="20"/>
      <c r="FO310" s="20"/>
      <c r="FP310" s="20"/>
      <c r="FQ310" s="20"/>
      <c r="FR310" s="20"/>
      <c r="FS310" s="20"/>
      <c r="FT310" s="20"/>
      <c r="FU310" s="20"/>
      <c r="FV310" s="20"/>
      <c r="FW310" s="20"/>
      <c r="FX310" s="20"/>
      <c r="FY310" s="20"/>
      <c r="FZ310" s="20"/>
      <c r="GA310" s="20"/>
      <c r="GB310" s="20"/>
      <c r="GC310" s="20"/>
      <c r="GD310" s="20"/>
      <c r="GE310" s="20"/>
      <c r="GF310" s="20"/>
      <c r="GG310" s="20"/>
      <c r="GH310" s="20"/>
      <c r="GI310" s="20"/>
      <c r="GJ310" s="20"/>
      <c r="GK310" s="20"/>
      <c r="GL310" s="20"/>
      <c r="GM310" s="20"/>
      <c r="GN310" s="20"/>
      <c r="GO310" s="20"/>
      <c r="GP310" s="20"/>
      <c r="GQ310" s="20"/>
      <c r="GR310" s="20"/>
      <c r="GS310" s="20"/>
      <c r="GT310" s="21"/>
      <c r="GU310" s="21"/>
      <c r="GV310" s="21"/>
      <c r="GW310" s="21"/>
      <c r="GX310" s="21"/>
      <c r="GY310" s="21"/>
      <c r="GZ310" s="21"/>
      <c r="HA310" s="21"/>
      <c r="HB310" s="21"/>
      <c r="HC310" s="21"/>
      <c r="HD310" s="21"/>
      <c r="HE310" s="21"/>
      <c r="HF310" s="21"/>
      <c r="HG310" s="21"/>
      <c r="HH310" s="21"/>
      <c r="HI310" s="21"/>
      <c r="HJ310" s="21"/>
      <c r="HK310" s="21"/>
      <c r="HL310" s="21"/>
      <c r="HM310" s="21"/>
      <c r="HN310" s="21"/>
      <c r="HO310" s="21"/>
      <c r="HP310" s="21"/>
      <c r="HQ310" s="21"/>
      <c r="HR310" s="21"/>
      <c r="HS310" s="21"/>
      <c r="HT310" s="21"/>
      <c r="HU310" s="21"/>
      <c r="HV310" s="21"/>
      <c r="HW310" s="21"/>
      <c r="HX310" s="21"/>
      <c r="HY310" s="21"/>
      <c r="HZ310" s="21"/>
      <c r="IA310" s="21"/>
      <c r="IB310" s="21"/>
      <c r="IC310" s="21"/>
      <c r="ID310" s="21"/>
      <c r="IE310" s="21"/>
      <c r="IF310" s="21"/>
      <c r="IG310" s="21"/>
      <c r="IH310" s="21"/>
      <c r="II310" s="21"/>
      <c r="IJ310" s="21"/>
      <c r="IK310" s="21"/>
      <c r="IL310" s="21"/>
      <c r="IM310" s="21"/>
      <c r="IN310" s="21"/>
      <c r="IO310" s="21"/>
      <c r="IP310" s="21"/>
      <c r="IQ310" s="21"/>
      <c r="IR310" s="21"/>
      <c r="IS310" s="21"/>
      <c r="IT310" s="21"/>
    </row>
    <row r="311" spans="1:254" s="3" customFormat="1" ht="27" customHeight="1">
      <c r="A311" s="11">
        <v>309</v>
      </c>
      <c r="B311" s="13" t="str">
        <f>"杜永航"</f>
        <v>杜永航</v>
      </c>
      <c r="C311" s="13" t="s">
        <v>21</v>
      </c>
      <c r="D311" s="13" t="str">
        <f>"230702202509"</f>
        <v>230702202509</v>
      </c>
      <c r="E311" s="18">
        <v>63.915</v>
      </c>
      <c r="F311" s="19" t="s">
        <v>10</v>
      </c>
      <c r="G311" s="19" t="s">
        <v>10</v>
      </c>
      <c r="H311" s="18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  <c r="DI311" s="20"/>
      <c r="DJ311" s="20"/>
      <c r="DK311" s="20"/>
      <c r="DL311" s="20"/>
      <c r="DM311" s="20"/>
      <c r="DN311" s="20"/>
      <c r="DO311" s="20"/>
      <c r="DP311" s="20"/>
      <c r="DQ311" s="20"/>
      <c r="DR311" s="20"/>
      <c r="DS311" s="20"/>
      <c r="DT311" s="20"/>
      <c r="DU311" s="20"/>
      <c r="DV311" s="20"/>
      <c r="DW311" s="20"/>
      <c r="DX311" s="20"/>
      <c r="DY311" s="20"/>
      <c r="DZ311" s="20"/>
      <c r="EA311" s="20"/>
      <c r="EB311" s="20"/>
      <c r="EC311" s="20"/>
      <c r="ED311" s="20"/>
      <c r="EE311" s="20"/>
      <c r="EF311" s="20"/>
      <c r="EG311" s="20"/>
      <c r="EH311" s="20"/>
      <c r="EI311" s="20"/>
      <c r="EJ311" s="20"/>
      <c r="EK311" s="20"/>
      <c r="EL311" s="20"/>
      <c r="EM311" s="20"/>
      <c r="EN311" s="20"/>
      <c r="EO311" s="20"/>
      <c r="EP311" s="20"/>
      <c r="EQ311" s="20"/>
      <c r="ER311" s="20"/>
      <c r="ES311" s="20"/>
      <c r="ET311" s="20"/>
      <c r="EU311" s="20"/>
      <c r="EV311" s="20"/>
      <c r="EW311" s="20"/>
      <c r="EX311" s="20"/>
      <c r="EY311" s="20"/>
      <c r="EZ311" s="20"/>
      <c r="FA311" s="20"/>
      <c r="FB311" s="20"/>
      <c r="FC311" s="20"/>
      <c r="FD311" s="20"/>
      <c r="FE311" s="20"/>
      <c r="FF311" s="20"/>
      <c r="FG311" s="20"/>
      <c r="FH311" s="20"/>
      <c r="FI311" s="20"/>
      <c r="FJ311" s="20"/>
      <c r="FK311" s="20"/>
      <c r="FL311" s="20"/>
      <c r="FM311" s="20"/>
      <c r="FN311" s="20"/>
      <c r="FO311" s="20"/>
      <c r="FP311" s="20"/>
      <c r="FQ311" s="20"/>
      <c r="FR311" s="20"/>
      <c r="FS311" s="20"/>
      <c r="FT311" s="20"/>
      <c r="FU311" s="20"/>
      <c r="FV311" s="20"/>
      <c r="FW311" s="20"/>
      <c r="FX311" s="20"/>
      <c r="FY311" s="20"/>
      <c r="FZ311" s="20"/>
      <c r="GA311" s="20"/>
      <c r="GB311" s="20"/>
      <c r="GC311" s="20"/>
      <c r="GD311" s="20"/>
      <c r="GE311" s="20"/>
      <c r="GF311" s="20"/>
      <c r="GG311" s="20"/>
      <c r="GH311" s="20"/>
      <c r="GI311" s="20"/>
      <c r="GJ311" s="20"/>
      <c r="GK311" s="20"/>
      <c r="GL311" s="20"/>
      <c r="GM311" s="20"/>
      <c r="GN311" s="20"/>
      <c r="GO311" s="20"/>
      <c r="GP311" s="20"/>
      <c r="GQ311" s="20"/>
      <c r="GR311" s="20"/>
      <c r="GS311" s="20"/>
      <c r="GT311" s="21"/>
      <c r="GU311" s="21"/>
      <c r="GV311" s="21"/>
      <c r="GW311" s="21"/>
      <c r="GX311" s="21"/>
      <c r="GY311" s="21"/>
      <c r="GZ311" s="21"/>
      <c r="HA311" s="21"/>
      <c r="HB311" s="21"/>
      <c r="HC311" s="21"/>
      <c r="HD311" s="21"/>
      <c r="HE311" s="21"/>
      <c r="HF311" s="21"/>
      <c r="HG311" s="21"/>
      <c r="HH311" s="21"/>
      <c r="HI311" s="21"/>
      <c r="HJ311" s="21"/>
      <c r="HK311" s="21"/>
      <c r="HL311" s="21"/>
      <c r="HM311" s="21"/>
      <c r="HN311" s="21"/>
      <c r="HO311" s="21"/>
      <c r="HP311" s="21"/>
      <c r="HQ311" s="21"/>
      <c r="HR311" s="21"/>
      <c r="HS311" s="21"/>
      <c r="HT311" s="21"/>
      <c r="HU311" s="21"/>
      <c r="HV311" s="21"/>
      <c r="HW311" s="21"/>
      <c r="HX311" s="21"/>
      <c r="HY311" s="21"/>
      <c r="HZ311" s="21"/>
      <c r="IA311" s="21"/>
      <c r="IB311" s="21"/>
      <c r="IC311" s="21"/>
      <c r="ID311" s="21"/>
      <c r="IE311" s="21"/>
      <c r="IF311" s="21"/>
      <c r="IG311" s="21"/>
      <c r="IH311" s="21"/>
      <c r="II311" s="21"/>
      <c r="IJ311" s="21"/>
      <c r="IK311" s="21"/>
      <c r="IL311" s="21"/>
      <c r="IM311" s="21"/>
      <c r="IN311" s="21"/>
      <c r="IO311" s="21"/>
      <c r="IP311" s="21"/>
      <c r="IQ311" s="21"/>
      <c r="IR311" s="21"/>
      <c r="IS311" s="21"/>
      <c r="IT311" s="21"/>
    </row>
    <row r="312" spans="1:254" s="3" customFormat="1" ht="27" customHeight="1">
      <c r="A312" s="11">
        <v>310</v>
      </c>
      <c r="B312" s="13" t="str">
        <f>"罗延明"</f>
        <v>罗延明</v>
      </c>
      <c r="C312" s="13" t="s">
        <v>21</v>
      </c>
      <c r="D312" s="13" t="str">
        <f>"230702202801"</f>
        <v>230702202801</v>
      </c>
      <c r="E312" s="18">
        <v>63.885</v>
      </c>
      <c r="F312" s="19" t="s">
        <v>10</v>
      </c>
      <c r="G312" s="19" t="s">
        <v>10</v>
      </c>
      <c r="H312" s="18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  <c r="DL312" s="20"/>
      <c r="DM312" s="20"/>
      <c r="DN312" s="20"/>
      <c r="DO312" s="20"/>
      <c r="DP312" s="20"/>
      <c r="DQ312" s="20"/>
      <c r="DR312" s="20"/>
      <c r="DS312" s="20"/>
      <c r="DT312" s="20"/>
      <c r="DU312" s="20"/>
      <c r="DV312" s="20"/>
      <c r="DW312" s="20"/>
      <c r="DX312" s="20"/>
      <c r="DY312" s="20"/>
      <c r="DZ312" s="20"/>
      <c r="EA312" s="20"/>
      <c r="EB312" s="20"/>
      <c r="EC312" s="20"/>
      <c r="ED312" s="20"/>
      <c r="EE312" s="20"/>
      <c r="EF312" s="20"/>
      <c r="EG312" s="20"/>
      <c r="EH312" s="20"/>
      <c r="EI312" s="20"/>
      <c r="EJ312" s="20"/>
      <c r="EK312" s="20"/>
      <c r="EL312" s="20"/>
      <c r="EM312" s="20"/>
      <c r="EN312" s="20"/>
      <c r="EO312" s="20"/>
      <c r="EP312" s="20"/>
      <c r="EQ312" s="20"/>
      <c r="ER312" s="20"/>
      <c r="ES312" s="20"/>
      <c r="ET312" s="20"/>
      <c r="EU312" s="20"/>
      <c r="EV312" s="20"/>
      <c r="EW312" s="20"/>
      <c r="EX312" s="20"/>
      <c r="EY312" s="20"/>
      <c r="EZ312" s="20"/>
      <c r="FA312" s="20"/>
      <c r="FB312" s="20"/>
      <c r="FC312" s="20"/>
      <c r="FD312" s="20"/>
      <c r="FE312" s="20"/>
      <c r="FF312" s="20"/>
      <c r="FG312" s="20"/>
      <c r="FH312" s="20"/>
      <c r="FI312" s="20"/>
      <c r="FJ312" s="20"/>
      <c r="FK312" s="20"/>
      <c r="FL312" s="20"/>
      <c r="FM312" s="20"/>
      <c r="FN312" s="20"/>
      <c r="FO312" s="20"/>
      <c r="FP312" s="20"/>
      <c r="FQ312" s="20"/>
      <c r="FR312" s="20"/>
      <c r="FS312" s="20"/>
      <c r="FT312" s="20"/>
      <c r="FU312" s="20"/>
      <c r="FV312" s="20"/>
      <c r="FW312" s="20"/>
      <c r="FX312" s="20"/>
      <c r="FY312" s="20"/>
      <c r="FZ312" s="20"/>
      <c r="GA312" s="20"/>
      <c r="GB312" s="20"/>
      <c r="GC312" s="20"/>
      <c r="GD312" s="20"/>
      <c r="GE312" s="20"/>
      <c r="GF312" s="20"/>
      <c r="GG312" s="20"/>
      <c r="GH312" s="20"/>
      <c r="GI312" s="20"/>
      <c r="GJ312" s="20"/>
      <c r="GK312" s="20"/>
      <c r="GL312" s="20"/>
      <c r="GM312" s="20"/>
      <c r="GN312" s="20"/>
      <c r="GO312" s="20"/>
      <c r="GP312" s="20"/>
      <c r="GQ312" s="20"/>
      <c r="GR312" s="20"/>
      <c r="GS312" s="20"/>
      <c r="GT312" s="21"/>
      <c r="GU312" s="21"/>
      <c r="GV312" s="21"/>
      <c r="GW312" s="21"/>
      <c r="GX312" s="21"/>
      <c r="GY312" s="21"/>
      <c r="GZ312" s="21"/>
      <c r="HA312" s="21"/>
      <c r="HB312" s="21"/>
      <c r="HC312" s="21"/>
      <c r="HD312" s="21"/>
      <c r="HE312" s="21"/>
      <c r="HF312" s="21"/>
      <c r="HG312" s="21"/>
      <c r="HH312" s="21"/>
      <c r="HI312" s="21"/>
      <c r="HJ312" s="21"/>
      <c r="HK312" s="21"/>
      <c r="HL312" s="21"/>
      <c r="HM312" s="21"/>
      <c r="HN312" s="21"/>
      <c r="HO312" s="21"/>
      <c r="HP312" s="21"/>
      <c r="HQ312" s="21"/>
      <c r="HR312" s="21"/>
      <c r="HS312" s="21"/>
      <c r="HT312" s="21"/>
      <c r="HU312" s="21"/>
      <c r="HV312" s="21"/>
      <c r="HW312" s="21"/>
      <c r="HX312" s="21"/>
      <c r="HY312" s="21"/>
      <c r="HZ312" s="21"/>
      <c r="IA312" s="21"/>
      <c r="IB312" s="21"/>
      <c r="IC312" s="21"/>
      <c r="ID312" s="21"/>
      <c r="IE312" s="21"/>
      <c r="IF312" s="21"/>
      <c r="IG312" s="21"/>
      <c r="IH312" s="21"/>
      <c r="II312" s="21"/>
      <c r="IJ312" s="21"/>
      <c r="IK312" s="21"/>
      <c r="IL312" s="21"/>
      <c r="IM312" s="21"/>
      <c r="IN312" s="21"/>
      <c r="IO312" s="21"/>
      <c r="IP312" s="21"/>
      <c r="IQ312" s="21"/>
      <c r="IR312" s="21"/>
      <c r="IS312" s="21"/>
      <c r="IT312" s="21"/>
    </row>
    <row r="313" spans="1:254" s="3" customFormat="1" ht="27" customHeight="1">
      <c r="A313" s="11">
        <v>311</v>
      </c>
      <c r="B313" s="13" t="str">
        <f>"黄朝辉"</f>
        <v>黄朝辉</v>
      </c>
      <c r="C313" s="13" t="s">
        <v>21</v>
      </c>
      <c r="D313" s="13" t="str">
        <f>"230702202319"</f>
        <v>230702202319</v>
      </c>
      <c r="E313" s="18">
        <v>63.815</v>
      </c>
      <c r="F313" s="19" t="s">
        <v>10</v>
      </c>
      <c r="G313" s="19" t="s">
        <v>10</v>
      </c>
      <c r="H313" s="18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  <c r="DB313" s="20"/>
      <c r="DC313" s="20"/>
      <c r="DD313" s="20"/>
      <c r="DE313" s="20"/>
      <c r="DF313" s="20"/>
      <c r="DG313" s="20"/>
      <c r="DH313" s="20"/>
      <c r="DI313" s="20"/>
      <c r="DJ313" s="20"/>
      <c r="DK313" s="20"/>
      <c r="DL313" s="20"/>
      <c r="DM313" s="20"/>
      <c r="DN313" s="20"/>
      <c r="DO313" s="20"/>
      <c r="DP313" s="20"/>
      <c r="DQ313" s="20"/>
      <c r="DR313" s="20"/>
      <c r="DS313" s="20"/>
      <c r="DT313" s="20"/>
      <c r="DU313" s="20"/>
      <c r="DV313" s="20"/>
      <c r="DW313" s="20"/>
      <c r="DX313" s="20"/>
      <c r="DY313" s="20"/>
      <c r="DZ313" s="20"/>
      <c r="EA313" s="20"/>
      <c r="EB313" s="20"/>
      <c r="EC313" s="20"/>
      <c r="ED313" s="20"/>
      <c r="EE313" s="20"/>
      <c r="EF313" s="20"/>
      <c r="EG313" s="20"/>
      <c r="EH313" s="20"/>
      <c r="EI313" s="20"/>
      <c r="EJ313" s="20"/>
      <c r="EK313" s="20"/>
      <c r="EL313" s="20"/>
      <c r="EM313" s="20"/>
      <c r="EN313" s="20"/>
      <c r="EO313" s="20"/>
      <c r="EP313" s="20"/>
      <c r="EQ313" s="20"/>
      <c r="ER313" s="20"/>
      <c r="ES313" s="20"/>
      <c r="ET313" s="20"/>
      <c r="EU313" s="20"/>
      <c r="EV313" s="20"/>
      <c r="EW313" s="20"/>
      <c r="EX313" s="20"/>
      <c r="EY313" s="20"/>
      <c r="EZ313" s="20"/>
      <c r="FA313" s="20"/>
      <c r="FB313" s="20"/>
      <c r="FC313" s="20"/>
      <c r="FD313" s="20"/>
      <c r="FE313" s="20"/>
      <c r="FF313" s="20"/>
      <c r="FG313" s="20"/>
      <c r="FH313" s="20"/>
      <c r="FI313" s="20"/>
      <c r="FJ313" s="20"/>
      <c r="FK313" s="20"/>
      <c r="FL313" s="20"/>
      <c r="FM313" s="20"/>
      <c r="FN313" s="20"/>
      <c r="FO313" s="20"/>
      <c r="FP313" s="20"/>
      <c r="FQ313" s="20"/>
      <c r="FR313" s="20"/>
      <c r="FS313" s="20"/>
      <c r="FT313" s="20"/>
      <c r="FU313" s="20"/>
      <c r="FV313" s="20"/>
      <c r="FW313" s="20"/>
      <c r="FX313" s="20"/>
      <c r="FY313" s="20"/>
      <c r="FZ313" s="20"/>
      <c r="GA313" s="20"/>
      <c r="GB313" s="20"/>
      <c r="GC313" s="20"/>
      <c r="GD313" s="20"/>
      <c r="GE313" s="20"/>
      <c r="GF313" s="20"/>
      <c r="GG313" s="20"/>
      <c r="GH313" s="20"/>
      <c r="GI313" s="20"/>
      <c r="GJ313" s="20"/>
      <c r="GK313" s="20"/>
      <c r="GL313" s="20"/>
      <c r="GM313" s="20"/>
      <c r="GN313" s="20"/>
      <c r="GO313" s="20"/>
      <c r="GP313" s="20"/>
      <c r="GQ313" s="20"/>
      <c r="GR313" s="20"/>
      <c r="GS313" s="20"/>
      <c r="GT313" s="21"/>
      <c r="GU313" s="21"/>
      <c r="GV313" s="21"/>
      <c r="GW313" s="21"/>
      <c r="GX313" s="21"/>
      <c r="GY313" s="21"/>
      <c r="GZ313" s="21"/>
      <c r="HA313" s="21"/>
      <c r="HB313" s="21"/>
      <c r="HC313" s="21"/>
      <c r="HD313" s="21"/>
      <c r="HE313" s="21"/>
      <c r="HF313" s="21"/>
      <c r="HG313" s="21"/>
      <c r="HH313" s="21"/>
      <c r="HI313" s="21"/>
      <c r="HJ313" s="21"/>
      <c r="HK313" s="21"/>
      <c r="HL313" s="21"/>
      <c r="HM313" s="21"/>
      <c r="HN313" s="21"/>
      <c r="HO313" s="21"/>
      <c r="HP313" s="21"/>
      <c r="HQ313" s="21"/>
      <c r="HR313" s="21"/>
      <c r="HS313" s="21"/>
      <c r="HT313" s="21"/>
      <c r="HU313" s="21"/>
      <c r="HV313" s="21"/>
      <c r="HW313" s="21"/>
      <c r="HX313" s="21"/>
      <c r="HY313" s="21"/>
      <c r="HZ313" s="21"/>
      <c r="IA313" s="21"/>
      <c r="IB313" s="21"/>
      <c r="IC313" s="21"/>
      <c r="ID313" s="21"/>
      <c r="IE313" s="21"/>
      <c r="IF313" s="21"/>
      <c r="IG313" s="21"/>
      <c r="IH313" s="21"/>
      <c r="II313" s="21"/>
      <c r="IJ313" s="21"/>
      <c r="IK313" s="21"/>
      <c r="IL313" s="21"/>
      <c r="IM313" s="21"/>
      <c r="IN313" s="21"/>
      <c r="IO313" s="21"/>
      <c r="IP313" s="21"/>
      <c r="IQ313" s="21"/>
      <c r="IR313" s="21"/>
      <c r="IS313" s="21"/>
      <c r="IT313" s="21"/>
    </row>
    <row r="314" spans="1:254" s="3" customFormat="1" ht="27" customHeight="1">
      <c r="A314" s="11">
        <v>312</v>
      </c>
      <c r="B314" s="13" t="str">
        <f>"李家定"</f>
        <v>李家定</v>
      </c>
      <c r="C314" s="13" t="s">
        <v>21</v>
      </c>
      <c r="D314" s="13" t="str">
        <f>"230702202013"</f>
        <v>230702202013</v>
      </c>
      <c r="E314" s="18">
        <v>63.7</v>
      </c>
      <c r="F314" s="19" t="s">
        <v>10</v>
      </c>
      <c r="G314" s="19" t="s">
        <v>10</v>
      </c>
      <c r="H314" s="18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  <c r="DC314" s="20"/>
      <c r="DD314" s="20"/>
      <c r="DE314" s="20"/>
      <c r="DF314" s="20"/>
      <c r="DG314" s="20"/>
      <c r="DH314" s="20"/>
      <c r="DI314" s="20"/>
      <c r="DJ314" s="20"/>
      <c r="DK314" s="20"/>
      <c r="DL314" s="20"/>
      <c r="DM314" s="20"/>
      <c r="DN314" s="20"/>
      <c r="DO314" s="20"/>
      <c r="DP314" s="20"/>
      <c r="DQ314" s="20"/>
      <c r="DR314" s="20"/>
      <c r="DS314" s="20"/>
      <c r="DT314" s="20"/>
      <c r="DU314" s="20"/>
      <c r="DV314" s="20"/>
      <c r="DW314" s="20"/>
      <c r="DX314" s="20"/>
      <c r="DY314" s="20"/>
      <c r="DZ314" s="20"/>
      <c r="EA314" s="20"/>
      <c r="EB314" s="20"/>
      <c r="EC314" s="20"/>
      <c r="ED314" s="20"/>
      <c r="EE314" s="20"/>
      <c r="EF314" s="20"/>
      <c r="EG314" s="20"/>
      <c r="EH314" s="20"/>
      <c r="EI314" s="20"/>
      <c r="EJ314" s="20"/>
      <c r="EK314" s="20"/>
      <c r="EL314" s="20"/>
      <c r="EM314" s="20"/>
      <c r="EN314" s="20"/>
      <c r="EO314" s="20"/>
      <c r="EP314" s="20"/>
      <c r="EQ314" s="20"/>
      <c r="ER314" s="20"/>
      <c r="ES314" s="20"/>
      <c r="ET314" s="20"/>
      <c r="EU314" s="20"/>
      <c r="EV314" s="20"/>
      <c r="EW314" s="20"/>
      <c r="EX314" s="20"/>
      <c r="EY314" s="20"/>
      <c r="EZ314" s="20"/>
      <c r="FA314" s="20"/>
      <c r="FB314" s="20"/>
      <c r="FC314" s="20"/>
      <c r="FD314" s="20"/>
      <c r="FE314" s="20"/>
      <c r="FF314" s="20"/>
      <c r="FG314" s="20"/>
      <c r="FH314" s="20"/>
      <c r="FI314" s="20"/>
      <c r="FJ314" s="20"/>
      <c r="FK314" s="20"/>
      <c r="FL314" s="20"/>
      <c r="FM314" s="20"/>
      <c r="FN314" s="20"/>
      <c r="FO314" s="20"/>
      <c r="FP314" s="20"/>
      <c r="FQ314" s="20"/>
      <c r="FR314" s="20"/>
      <c r="FS314" s="20"/>
      <c r="FT314" s="20"/>
      <c r="FU314" s="20"/>
      <c r="FV314" s="20"/>
      <c r="FW314" s="20"/>
      <c r="FX314" s="20"/>
      <c r="FY314" s="20"/>
      <c r="FZ314" s="20"/>
      <c r="GA314" s="20"/>
      <c r="GB314" s="20"/>
      <c r="GC314" s="20"/>
      <c r="GD314" s="20"/>
      <c r="GE314" s="20"/>
      <c r="GF314" s="20"/>
      <c r="GG314" s="20"/>
      <c r="GH314" s="20"/>
      <c r="GI314" s="20"/>
      <c r="GJ314" s="20"/>
      <c r="GK314" s="20"/>
      <c r="GL314" s="20"/>
      <c r="GM314" s="20"/>
      <c r="GN314" s="20"/>
      <c r="GO314" s="20"/>
      <c r="GP314" s="20"/>
      <c r="GQ314" s="20"/>
      <c r="GR314" s="20"/>
      <c r="GS314" s="20"/>
      <c r="GT314" s="21"/>
      <c r="GU314" s="21"/>
      <c r="GV314" s="21"/>
      <c r="GW314" s="21"/>
      <c r="GX314" s="21"/>
      <c r="GY314" s="21"/>
      <c r="GZ314" s="21"/>
      <c r="HA314" s="21"/>
      <c r="HB314" s="21"/>
      <c r="HC314" s="21"/>
      <c r="HD314" s="21"/>
      <c r="HE314" s="21"/>
      <c r="HF314" s="21"/>
      <c r="HG314" s="21"/>
      <c r="HH314" s="21"/>
      <c r="HI314" s="21"/>
      <c r="HJ314" s="21"/>
      <c r="HK314" s="21"/>
      <c r="HL314" s="21"/>
      <c r="HM314" s="21"/>
      <c r="HN314" s="21"/>
      <c r="HO314" s="21"/>
      <c r="HP314" s="21"/>
      <c r="HQ314" s="21"/>
      <c r="HR314" s="21"/>
      <c r="HS314" s="21"/>
      <c r="HT314" s="21"/>
      <c r="HU314" s="21"/>
      <c r="HV314" s="21"/>
      <c r="HW314" s="21"/>
      <c r="HX314" s="21"/>
      <c r="HY314" s="21"/>
      <c r="HZ314" s="21"/>
      <c r="IA314" s="21"/>
      <c r="IB314" s="21"/>
      <c r="IC314" s="21"/>
      <c r="ID314" s="21"/>
      <c r="IE314" s="21"/>
      <c r="IF314" s="21"/>
      <c r="IG314" s="21"/>
      <c r="IH314" s="21"/>
      <c r="II314" s="21"/>
      <c r="IJ314" s="21"/>
      <c r="IK314" s="21"/>
      <c r="IL314" s="21"/>
      <c r="IM314" s="21"/>
      <c r="IN314" s="21"/>
      <c r="IO314" s="21"/>
      <c r="IP314" s="21"/>
      <c r="IQ314" s="21"/>
      <c r="IR314" s="21"/>
      <c r="IS314" s="21"/>
      <c r="IT314" s="21"/>
    </row>
    <row r="315" spans="1:254" s="3" customFormat="1" ht="27" customHeight="1">
      <c r="A315" s="11">
        <v>313</v>
      </c>
      <c r="B315" s="13" t="str">
        <f>"郑曾文"</f>
        <v>郑曾文</v>
      </c>
      <c r="C315" s="13" t="s">
        <v>21</v>
      </c>
      <c r="D315" s="13" t="str">
        <f>"230702201930"</f>
        <v>230702201930</v>
      </c>
      <c r="E315" s="18">
        <v>62.735</v>
      </c>
      <c r="F315" s="19" t="s">
        <v>10</v>
      </c>
      <c r="G315" s="19" t="s">
        <v>10</v>
      </c>
      <c r="H315" s="18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  <c r="DI315" s="20"/>
      <c r="DJ315" s="20"/>
      <c r="DK315" s="20"/>
      <c r="DL315" s="20"/>
      <c r="DM315" s="20"/>
      <c r="DN315" s="20"/>
      <c r="DO315" s="20"/>
      <c r="DP315" s="20"/>
      <c r="DQ315" s="20"/>
      <c r="DR315" s="20"/>
      <c r="DS315" s="20"/>
      <c r="DT315" s="20"/>
      <c r="DU315" s="20"/>
      <c r="DV315" s="20"/>
      <c r="DW315" s="20"/>
      <c r="DX315" s="20"/>
      <c r="DY315" s="20"/>
      <c r="DZ315" s="20"/>
      <c r="EA315" s="20"/>
      <c r="EB315" s="20"/>
      <c r="EC315" s="20"/>
      <c r="ED315" s="20"/>
      <c r="EE315" s="20"/>
      <c r="EF315" s="20"/>
      <c r="EG315" s="20"/>
      <c r="EH315" s="20"/>
      <c r="EI315" s="20"/>
      <c r="EJ315" s="20"/>
      <c r="EK315" s="20"/>
      <c r="EL315" s="20"/>
      <c r="EM315" s="20"/>
      <c r="EN315" s="20"/>
      <c r="EO315" s="20"/>
      <c r="EP315" s="20"/>
      <c r="EQ315" s="20"/>
      <c r="ER315" s="20"/>
      <c r="ES315" s="20"/>
      <c r="ET315" s="20"/>
      <c r="EU315" s="20"/>
      <c r="EV315" s="20"/>
      <c r="EW315" s="20"/>
      <c r="EX315" s="20"/>
      <c r="EY315" s="20"/>
      <c r="EZ315" s="20"/>
      <c r="FA315" s="20"/>
      <c r="FB315" s="20"/>
      <c r="FC315" s="20"/>
      <c r="FD315" s="20"/>
      <c r="FE315" s="20"/>
      <c r="FF315" s="20"/>
      <c r="FG315" s="20"/>
      <c r="FH315" s="20"/>
      <c r="FI315" s="20"/>
      <c r="FJ315" s="20"/>
      <c r="FK315" s="20"/>
      <c r="FL315" s="20"/>
      <c r="FM315" s="20"/>
      <c r="FN315" s="20"/>
      <c r="FO315" s="20"/>
      <c r="FP315" s="20"/>
      <c r="FQ315" s="20"/>
      <c r="FR315" s="20"/>
      <c r="FS315" s="20"/>
      <c r="FT315" s="20"/>
      <c r="FU315" s="20"/>
      <c r="FV315" s="20"/>
      <c r="FW315" s="20"/>
      <c r="FX315" s="20"/>
      <c r="FY315" s="20"/>
      <c r="FZ315" s="20"/>
      <c r="GA315" s="20"/>
      <c r="GB315" s="20"/>
      <c r="GC315" s="20"/>
      <c r="GD315" s="20"/>
      <c r="GE315" s="20"/>
      <c r="GF315" s="20"/>
      <c r="GG315" s="20"/>
      <c r="GH315" s="20"/>
      <c r="GI315" s="20"/>
      <c r="GJ315" s="20"/>
      <c r="GK315" s="20"/>
      <c r="GL315" s="20"/>
      <c r="GM315" s="20"/>
      <c r="GN315" s="20"/>
      <c r="GO315" s="20"/>
      <c r="GP315" s="20"/>
      <c r="GQ315" s="20"/>
      <c r="GR315" s="20"/>
      <c r="GS315" s="20"/>
      <c r="GT315" s="21"/>
      <c r="GU315" s="21"/>
      <c r="GV315" s="21"/>
      <c r="GW315" s="21"/>
      <c r="GX315" s="21"/>
      <c r="GY315" s="21"/>
      <c r="GZ315" s="21"/>
      <c r="HA315" s="21"/>
      <c r="HB315" s="21"/>
      <c r="HC315" s="21"/>
      <c r="HD315" s="21"/>
      <c r="HE315" s="21"/>
      <c r="HF315" s="21"/>
      <c r="HG315" s="21"/>
      <c r="HH315" s="21"/>
      <c r="HI315" s="21"/>
      <c r="HJ315" s="21"/>
      <c r="HK315" s="21"/>
      <c r="HL315" s="21"/>
      <c r="HM315" s="21"/>
      <c r="HN315" s="21"/>
      <c r="HO315" s="21"/>
      <c r="HP315" s="21"/>
      <c r="HQ315" s="21"/>
      <c r="HR315" s="21"/>
      <c r="HS315" s="21"/>
      <c r="HT315" s="21"/>
      <c r="HU315" s="21"/>
      <c r="HV315" s="21"/>
      <c r="HW315" s="21"/>
      <c r="HX315" s="21"/>
      <c r="HY315" s="21"/>
      <c r="HZ315" s="21"/>
      <c r="IA315" s="21"/>
      <c r="IB315" s="21"/>
      <c r="IC315" s="21"/>
      <c r="ID315" s="21"/>
      <c r="IE315" s="21"/>
      <c r="IF315" s="21"/>
      <c r="IG315" s="21"/>
      <c r="IH315" s="21"/>
      <c r="II315" s="21"/>
      <c r="IJ315" s="21"/>
      <c r="IK315" s="21"/>
      <c r="IL315" s="21"/>
      <c r="IM315" s="21"/>
      <c r="IN315" s="21"/>
      <c r="IO315" s="21"/>
      <c r="IP315" s="21"/>
      <c r="IQ315" s="21"/>
      <c r="IR315" s="21"/>
      <c r="IS315" s="21"/>
      <c r="IT315" s="21"/>
    </row>
    <row r="316" spans="1:254" s="3" customFormat="1" ht="27" customHeight="1">
      <c r="A316" s="11">
        <v>314</v>
      </c>
      <c r="B316" s="13" t="str">
        <f>"符育韬"</f>
        <v>符育韬</v>
      </c>
      <c r="C316" s="13" t="s">
        <v>21</v>
      </c>
      <c r="D316" s="13" t="str">
        <f>"230702202704"</f>
        <v>230702202704</v>
      </c>
      <c r="E316" s="18">
        <v>62.2</v>
      </c>
      <c r="F316" s="19" t="s">
        <v>10</v>
      </c>
      <c r="G316" s="19" t="s">
        <v>10</v>
      </c>
      <c r="H316" s="18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  <c r="DC316" s="20"/>
      <c r="DD316" s="20"/>
      <c r="DE316" s="20"/>
      <c r="DF316" s="20"/>
      <c r="DG316" s="20"/>
      <c r="DH316" s="20"/>
      <c r="DI316" s="20"/>
      <c r="DJ316" s="20"/>
      <c r="DK316" s="20"/>
      <c r="DL316" s="20"/>
      <c r="DM316" s="20"/>
      <c r="DN316" s="20"/>
      <c r="DO316" s="20"/>
      <c r="DP316" s="20"/>
      <c r="DQ316" s="20"/>
      <c r="DR316" s="20"/>
      <c r="DS316" s="20"/>
      <c r="DT316" s="20"/>
      <c r="DU316" s="20"/>
      <c r="DV316" s="20"/>
      <c r="DW316" s="20"/>
      <c r="DX316" s="20"/>
      <c r="DY316" s="20"/>
      <c r="DZ316" s="20"/>
      <c r="EA316" s="20"/>
      <c r="EB316" s="20"/>
      <c r="EC316" s="20"/>
      <c r="ED316" s="20"/>
      <c r="EE316" s="20"/>
      <c r="EF316" s="20"/>
      <c r="EG316" s="20"/>
      <c r="EH316" s="20"/>
      <c r="EI316" s="20"/>
      <c r="EJ316" s="20"/>
      <c r="EK316" s="20"/>
      <c r="EL316" s="20"/>
      <c r="EM316" s="20"/>
      <c r="EN316" s="20"/>
      <c r="EO316" s="20"/>
      <c r="EP316" s="20"/>
      <c r="EQ316" s="20"/>
      <c r="ER316" s="20"/>
      <c r="ES316" s="20"/>
      <c r="ET316" s="20"/>
      <c r="EU316" s="20"/>
      <c r="EV316" s="20"/>
      <c r="EW316" s="20"/>
      <c r="EX316" s="20"/>
      <c r="EY316" s="20"/>
      <c r="EZ316" s="20"/>
      <c r="FA316" s="20"/>
      <c r="FB316" s="20"/>
      <c r="FC316" s="20"/>
      <c r="FD316" s="20"/>
      <c r="FE316" s="20"/>
      <c r="FF316" s="20"/>
      <c r="FG316" s="20"/>
      <c r="FH316" s="20"/>
      <c r="FI316" s="20"/>
      <c r="FJ316" s="20"/>
      <c r="FK316" s="20"/>
      <c r="FL316" s="20"/>
      <c r="FM316" s="20"/>
      <c r="FN316" s="20"/>
      <c r="FO316" s="20"/>
      <c r="FP316" s="20"/>
      <c r="FQ316" s="20"/>
      <c r="FR316" s="20"/>
      <c r="FS316" s="20"/>
      <c r="FT316" s="20"/>
      <c r="FU316" s="20"/>
      <c r="FV316" s="20"/>
      <c r="FW316" s="20"/>
      <c r="FX316" s="20"/>
      <c r="FY316" s="20"/>
      <c r="FZ316" s="20"/>
      <c r="GA316" s="20"/>
      <c r="GB316" s="20"/>
      <c r="GC316" s="20"/>
      <c r="GD316" s="20"/>
      <c r="GE316" s="20"/>
      <c r="GF316" s="20"/>
      <c r="GG316" s="20"/>
      <c r="GH316" s="20"/>
      <c r="GI316" s="20"/>
      <c r="GJ316" s="20"/>
      <c r="GK316" s="20"/>
      <c r="GL316" s="20"/>
      <c r="GM316" s="20"/>
      <c r="GN316" s="20"/>
      <c r="GO316" s="20"/>
      <c r="GP316" s="20"/>
      <c r="GQ316" s="20"/>
      <c r="GR316" s="20"/>
      <c r="GS316" s="20"/>
      <c r="GT316" s="21"/>
      <c r="GU316" s="21"/>
      <c r="GV316" s="21"/>
      <c r="GW316" s="21"/>
      <c r="GX316" s="21"/>
      <c r="GY316" s="21"/>
      <c r="GZ316" s="21"/>
      <c r="HA316" s="21"/>
      <c r="HB316" s="21"/>
      <c r="HC316" s="21"/>
      <c r="HD316" s="21"/>
      <c r="HE316" s="21"/>
      <c r="HF316" s="21"/>
      <c r="HG316" s="21"/>
      <c r="HH316" s="21"/>
      <c r="HI316" s="21"/>
      <c r="HJ316" s="21"/>
      <c r="HK316" s="21"/>
      <c r="HL316" s="21"/>
      <c r="HM316" s="21"/>
      <c r="HN316" s="21"/>
      <c r="HO316" s="21"/>
      <c r="HP316" s="21"/>
      <c r="HQ316" s="21"/>
      <c r="HR316" s="21"/>
      <c r="HS316" s="21"/>
      <c r="HT316" s="21"/>
      <c r="HU316" s="21"/>
      <c r="HV316" s="21"/>
      <c r="HW316" s="21"/>
      <c r="HX316" s="21"/>
      <c r="HY316" s="21"/>
      <c r="HZ316" s="21"/>
      <c r="IA316" s="21"/>
      <c r="IB316" s="21"/>
      <c r="IC316" s="21"/>
      <c r="ID316" s="21"/>
      <c r="IE316" s="21"/>
      <c r="IF316" s="21"/>
      <c r="IG316" s="21"/>
      <c r="IH316" s="21"/>
      <c r="II316" s="21"/>
      <c r="IJ316" s="21"/>
      <c r="IK316" s="21"/>
      <c r="IL316" s="21"/>
      <c r="IM316" s="21"/>
      <c r="IN316" s="21"/>
      <c r="IO316" s="21"/>
      <c r="IP316" s="21"/>
      <c r="IQ316" s="21"/>
      <c r="IR316" s="21"/>
      <c r="IS316" s="21"/>
      <c r="IT316" s="21"/>
    </row>
    <row r="317" spans="1:254" s="3" customFormat="1" ht="27" customHeight="1">
      <c r="A317" s="11">
        <v>315</v>
      </c>
      <c r="B317" s="13" t="str">
        <f>"蒙秀军"</f>
        <v>蒙秀军</v>
      </c>
      <c r="C317" s="13" t="s">
        <v>21</v>
      </c>
      <c r="D317" s="13" t="str">
        <f>"230702202003"</f>
        <v>230702202003</v>
      </c>
      <c r="E317" s="18">
        <v>61.215</v>
      </c>
      <c r="F317" s="19" t="s">
        <v>10</v>
      </c>
      <c r="G317" s="19" t="s">
        <v>10</v>
      </c>
      <c r="H317" s="18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  <c r="CX317" s="20"/>
      <c r="CY317" s="20"/>
      <c r="CZ317" s="20"/>
      <c r="DA317" s="20"/>
      <c r="DB317" s="20"/>
      <c r="DC317" s="20"/>
      <c r="DD317" s="20"/>
      <c r="DE317" s="20"/>
      <c r="DF317" s="20"/>
      <c r="DG317" s="20"/>
      <c r="DH317" s="20"/>
      <c r="DI317" s="20"/>
      <c r="DJ317" s="20"/>
      <c r="DK317" s="20"/>
      <c r="DL317" s="20"/>
      <c r="DM317" s="20"/>
      <c r="DN317" s="20"/>
      <c r="DO317" s="20"/>
      <c r="DP317" s="20"/>
      <c r="DQ317" s="20"/>
      <c r="DR317" s="20"/>
      <c r="DS317" s="20"/>
      <c r="DT317" s="20"/>
      <c r="DU317" s="20"/>
      <c r="DV317" s="20"/>
      <c r="DW317" s="20"/>
      <c r="DX317" s="20"/>
      <c r="DY317" s="20"/>
      <c r="DZ317" s="20"/>
      <c r="EA317" s="20"/>
      <c r="EB317" s="20"/>
      <c r="EC317" s="20"/>
      <c r="ED317" s="20"/>
      <c r="EE317" s="20"/>
      <c r="EF317" s="20"/>
      <c r="EG317" s="20"/>
      <c r="EH317" s="20"/>
      <c r="EI317" s="20"/>
      <c r="EJ317" s="20"/>
      <c r="EK317" s="20"/>
      <c r="EL317" s="20"/>
      <c r="EM317" s="20"/>
      <c r="EN317" s="20"/>
      <c r="EO317" s="20"/>
      <c r="EP317" s="20"/>
      <c r="EQ317" s="20"/>
      <c r="ER317" s="20"/>
      <c r="ES317" s="20"/>
      <c r="ET317" s="20"/>
      <c r="EU317" s="20"/>
      <c r="EV317" s="20"/>
      <c r="EW317" s="20"/>
      <c r="EX317" s="20"/>
      <c r="EY317" s="20"/>
      <c r="EZ317" s="20"/>
      <c r="FA317" s="20"/>
      <c r="FB317" s="20"/>
      <c r="FC317" s="20"/>
      <c r="FD317" s="20"/>
      <c r="FE317" s="20"/>
      <c r="FF317" s="20"/>
      <c r="FG317" s="20"/>
      <c r="FH317" s="20"/>
      <c r="FI317" s="20"/>
      <c r="FJ317" s="20"/>
      <c r="FK317" s="20"/>
      <c r="FL317" s="20"/>
      <c r="FM317" s="20"/>
      <c r="FN317" s="20"/>
      <c r="FO317" s="20"/>
      <c r="FP317" s="20"/>
      <c r="FQ317" s="20"/>
      <c r="FR317" s="20"/>
      <c r="FS317" s="20"/>
      <c r="FT317" s="20"/>
      <c r="FU317" s="20"/>
      <c r="FV317" s="20"/>
      <c r="FW317" s="20"/>
      <c r="FX317" s="20"/>
      <c r="FY317" s="20"/>
      <c r="FZ317" s="20"/>
      <c r="GA317" s="20"/>
      <c r="GB317" s="20"/>
      <c r="GC317" s="20"/>
      <c r="GD317" s="20"/>
      <c r="GE317" s="20"/>
      <c r="GF317" s="20"/>
      <c r="GG317" s="20"/>
      <c r="GH317" s="20"/>
      <c r="GI317" s="20"/>
      <c r="GJ317" s="20"/>
      <c r="GK317" s="20"/>
      <c r="GL317" s="20"/>
      <c r="GM317" s="20"/>
      <c r="GN317" s="20"/>
      <c r="GO317" s="20"/>
      <c r="GP317" s="20"/>
      <c r="GQ317" s="20"/>
      <c r="GR317" s="20"/>
      <c r="GS317" s="20"/>
      <c r="GT317" s="21"/>
      <c r="GU317" s="21"/>
      <c r="GV317" s="21"/>
      <c r="GW317" s="21"/>
      <c r="GX317" s="21"/>
      <c r="GY317" s="21"/>
      <c r="GZ317" s="21"/>
      <c r="HA317" s="21"/>
      <c r="HB317" s="21"/>
      <c r="HC317" s="21"/>
      <c r="HD317" s="21"/>
      <c r="HE317" s="21"/>
      <c r="HF317" s="21"/>
      <c r="HG317" s="21"/>
      <c r="HH317" s="21"/>
      <c r="HI317" s="21"/>
      <c r="HJ317" s="21"/>
      <c r="HK317" s="21"/>
      <c r="HL317" s="21"/>
      <c r="HM317" s="21"/>
      <c r="HN317" s="21"/>
      <c r="HO317" s="21"/>
      <c r="HP317" s="21"/>
      <c r="HQ317" s="21"/>
      <c r="HR317" s="21"/>
      <c r="HS317" s="21"/>
      <c r="HT317" s="21"/>
      <c r="HU317" s="21"/>
      <c r="HV317" s="21"/>
      <c r="HW317" s="21"/>
      <c r="HX317" s="21"/>
      <c r="HY317" s="21"/>
      <c r="HZ317" s="21"/>
      <c r="IA317" s="21"/>
      <c r="IB317" s="21"/>
      <c r="IC317" s="21"/>
      <c r="ID317" s="21"/>
      <c r="IE317" s="21"/>
      <c r="IF317" s="21"/>
      <c r="IG317" s="21"/>
      <c r="IH317" s="21"/>
      <c r="II317" s="21"/>
      <c r="IJ317" s="21"/>
      <c r="IK317" s="21"/>
      <c r="IL317" s="21"/>
      <c r="IM317" s="21"/>
      <c r="IN317" s="21"/>
      <c r="IO317" s="21"/>
      <c r="IP317" s="21"/>
      <c r="IQ317" s="21"/>
      <c r="IR317" s="21"/>
      <c r="IS317" s="21"/>
      <c r="IT317" s="21"/>
    </row>
    <row r="318" spans="1:254" s="3" customFormat="1" ht="27" customHeight="1">
      <c r="A318" s="11">
        <v>316</v>
      </c>
      <c r="B318" s="13" t="str">
        <f>"卓仕虎"</f>
        <v>卓仕虎</v>
      </c>
      <c r="C318" s="13" t="s">
        <v>21</v>
      </c>
      <c r="D318" s="13" t="str">
        <f>"230702202107"</f>
        <v>230702202107</v>
      </c>
      <c r="E318" s="18">
        <v>61.185</v>
      </c>
      <c r="F318" s="19" t="s">
        <v>10</v>
      </c>
      <c r="G318" s="19" t="s">
        <v>10</v>
      </c>
      <c r="H318" s="18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  <c r="CX318" s="20"/>
      <c r="CY318" s="20"/>
      <c r="CZ318" s="20"/>
      <c r="DA318" s="20"/>
      <c r="DB318" s="20"/>
      <c r="DC318" s="20"/>
      <c r="DD318" s="20"/>
      <c r="DE318" s="20"/>
      <c r="DF318" s="20"/>
      <c r="DG318" s="20"/>
      <c r="DH318" s="20"/>
      <c r="DI318" s="20"/>
      <c r="DJ318" s="20"/>
      <c r="DK318" s="20"/>
      <c r="DL318" s="20"/>
      <c r="DM318" s="20"/>
      <c r="DN318" s="20"/>
      <c r="DO318" s="20"/>
      <c r="DP318" s="20"/>
      <c r="DQ318" s="20"/>
      <c r="DR318" s="20"/>
      <c r="DS318" s="20"/>
      <c r="DT318" s="20"/>
      <c r="DU318" s="20"/>
      <c r="DV318" s="20"/>
      <c r="DW318" s="20"/>
      <c r="DX318" s="20"/>
      <c r="DY318" s="20"/>
      <c r="DZ318" s="20"/>
      <c r="EA318" s="20"/>
      <c r="EB318" s="20"/>
      <c r="EC318" s="20"/>
      <c r="ED318" s="20"/>
      <c r="EE318" s="20"/>
      <c r="EF318" s="20"/>
      <c r="EG318" s="20"/>
      <c r="EH318" s="20"/>
      <c r="EI318" s="20"/>
      <c r="EJ318" s="20"/>
      <c r="EK318" s="20"/>
      <c r="EL318" s="20"/>
      <c r="EM318" s="20"/>
      <c r="EN318" s="20"/>
      <c r="EO318" s="20"/>
      <c r="EP318" s="20"/>
      <c r="EQ318" s="20"/>
      <c r="ER318" s="20"/>
      <c r="ES318" s="20"/>
      <c r="ET318" s="20"/>
      <c r="EU318" s="20"/>
      <c r="EV318" s="20"/>
      <c r="EW318" s="20"/>
      <c r="EX318" s="20"/>
      <c r="EY318" s="20"/>
      <c r="EZ318" s="20"/>
      <c r="FA318" s="20"/>
      <c r="FB318" s="20"/>
      <c r="FC318" s="20"/>
      <c r="FD318" s="20"/>
      <c r="FE318" s="20"/>
      <c r="FF318" s="20"/>
      <c r="FG318" s="20"/>
      <c r="FH318" s="20"/>
      <c r="FI318" s="20"/>
      <c r="FJ318" s="20"/>
      <c r="FK318" s="20"/>
      <c r="FL318" s="20"/>
      <c r="FM318" s="20"/>
      <c r="FN318" s="20"/>
      <c r="FO318" s="20"/>
      <c r="FP318" s="20"/>
      <c r="FQ318" s="20"/>
      <c r="FR318" s="20"/>
      <c r="FS318" s="20"/>
      <c r="FT318" s="20"/>
      <c r="FU318" s="20"/>
      <c r="FV318" s="20"/>
      <c r="FW318" s="20"/>
      <c r="FX318" s="20"/>
      <c r="FY318" s="20"/>
      <c r="FZ318" s="20"/>
      <c r="GA318" s="20"/>
      <c r="GB318" s="20"/>
      <c r="GC318" s="20"/>
      <c r="GD318" s="20"/>
      <c r="GE318" s="20"/>
      <c r="GF318" s="20"/>
      <c r="GG318" s="20"/>
      <c r="GH318" s="20"/>
      <c r="GI318" s="20"/>
      <c r="GJ318" s="20"/>
      <c r="GK318" s="20"/>
      <c r="GL318" s="20"/>
      <c r="GM318" s="20"/>
      <c r="GN318" s="20"/>
      <c r="GO318" s="20"/>
      <c r="GP318" s="20"/>
      <c r="GQ318" s="20"/>
      <c r="GR318" s="20"/>
      <c r="GS318" s="20"/>
      <c r="GT318" s="21"/>
      <c r="GU318" s="21"/>
      <c r="GV318" s="21"/>
      <c r="GW318" s="21"/>
      <c r="GX318" s="21"/>
      <c r="GY318" s="21"/>
      <c r="GZ318" s="21"/>
      <c r="HA318" s="21"/>
      <c r="HB318" s="21"/>
      <c r="HC318" s="21"/>
      <c r="HD318" s="21"/>
      <c r="HE318" s="21"/>
      <c r="HF318" s="21"/>
      <c r="HG318" s="21"/>
      <c r="HH318" s="21"/>
      <c r="HI318" s="21"/>
      <c r="HJ318" s="21"/>
      <c r="HK318" s="21"/>
      <c r="HL318" s="21"/>
      <c r="HM318" s="21"/>
      <c r="HN318" s="21"/>
      <c r="HO318" s="21"/>
      <c r="HP318" s="21"/>
      <c r="HQ318" s="21"/>
      <c r="HR318" s="21"/>
      <c r="HS318" s="21"/>
      <c r="HT318" s="21"/>
      <c r="HU318" s="21"/>
      <c r="HV318" s="21"/>
      <c r="HW318" s="21"/>
      <c r="HX318" s="21"/>
      <c r="HY318" s="21"/>
      <c r="HZ318" s="21"/>
      <c r="IA318" s="21"/>
      <c r="IB318" s="21"/>
      <c r="IC318" s="21"/>
      <c r="ID318" s="21"/>
      <c r="IE318" s="21"/>
      <c r="IF318" s="21"/>
      <c r="IG318" s="21"/>
      <c r="IH318" s="21"/>
      <c r="II318" s="21"/>
      <c r="IJ318" s="21"/>
      <c r="IK318" s="21"/>
      <c r="IL318" s="21"/>
      <c r="IM318" s="21"/>
      <c r="IN318" s="21"/>
      <c r="IO318" s="21"/>
      <c r="IP318" s="21"/>
      <c r="IQ318" s="21"/>
      <c r="IR318" s="21"/>
      <c r="IS318" s="21"/>
      <c r="IT318" s="21"/>
    </row>
    <row r="319" spans="1:254" s="3" customFormat="1" ht="27" customHeight="1">
      <c r="A319" s="11">
        <v>317</v>
      </c>
      <c r="B319" s="13" t="str">
        <f>"董培"</f>
        <v>董培</v>
      </c>
      <c r="C319" s="13" t="s">
        <v>21</v>
      </c>
      <c r="D319" s="13" t="str">
        <f>"230702202416"</f>
        <v>230702202416</v>
      </c>
      <c r="E319" s="18">
        <v>60.935</v>
      </c>
      <c r="F319" s="19" t="s">
        <v>10</v>
      </c>
      <c r="G319" s="19" t="s">
        <v>10</v>
      </c>
      <c r="H319" s="18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  <c r="DB319" s="20"/>
      <c r="DC319" s="20"/>
      <c r="DD319" s="20"/>
      <c r="DE319" s="20"/>
      <c r="DF319" s="20"/>
      <c r="DG319" s="20"/>
      <c r="DH319" s="20"/>
      <c r="DI319" s="20"/>
      <c r="DJ319" s="20"/>
      <c r="DK319" s="20"/>
      <c r="DL319" s="20"/>
      <c r="DM319" s="20"/>
      <c r="DN319" s="20"/>
      <c r="DO319" s="20"/>
      <c r="DP319" s="20"/>
      <c r="DQ319" s="20"/>
      <c r="DR319" s="20"/>
      <c r="DS319" s="20"/>
      <c r="DT319" s="20"/>
      <c r="DU319" s="20"/>
      <c r="DV319" s="20"/>
      <c r="DW319" s="20"/>
      <c r="DX319" s="20"/>
      <c r="DY319" s="20"/>
      <c r="DZ319" s="20"/>
      <c r="EA319" s="20"/>
      <c r="EB319" s="20"/>
      <c r="EC319" s="20"/>
      <c r="ED319" s="20"/>
      <c r="EE319" s="20"/>
      <c r="EF319" s="20"/>
      <c r="EG319" s="20"/>
      <c r="EH319" s="20"/>
      <c r="EI319" s="20"/>
      <c r="EJ319" s="20"/>
      <c r="EK319" s="20"/>
      <c r="EL319" s="20"/>
      <c r="EM319" s="20"/>
      <c r="EN319" s="20"/>
      <c r="EO319" s="20"/>
      <c r="EP319" s="20"/>
      <c r="EQ319" s="20"/>
      <c r="ER319" s="20"/>
      <c r="ES319" s="20"/>
      <c r="ET319" s="20"/>
      <c r="EU319" s="20"/>
      <c r="EV319" s="20"/>
      <c r="EW319" s="20"/>
      <c r="EX319" s="20"/>
      <c r="EY319" s="20"/>
      <c r="EZ319" s="20"/>
      <c r="FA319" s="20"/>
      <c r="FB319" s="20"/>
      <c r="FC319" s="20"/>
      <c r="FD319" s="20"/>
      <c r="FE319" s="20"/>
      <c r="FF319" s="20"/>
      <c r="FG319" s="20"/>
      <c r="FH319" s="20"/>
      <c r="FI319" s="20"/>
      <c r="FJ319" s="20"/>
      <c r="FK319" s="20"/>
      <c r="FL319" s="20"/>
      <c r="FM319" s="20"/>
      <c r="FN319" s="20"/>
      <c r="FO319" s="20"/>
      <c r="FP319" s="20"/>
      <c r="FQ319" s="20"/>
      <c r="FR319" s="20"/>
      <c r="FS319" s="20"/>
      <c r="FT319" s="20"/>
      <c r="FU319" s="20"/>
      <c r="FV319" s="20"/>
      <c r="FW319" s="20"/>
      <c r="FX319" s="20"/>
      <c r="FY319" s="20"/>
      <c r="FZ319" s="20"/>
      <c r="GA319" s="20"/>
      <c r="GB319" s="20"/>
      <c r="GC319" s="20"/>
      <c r="GD319" s="20"/>
      <c r="GE319" s="20"/>
      <c r="GF319" s="20"/>
      <c r="GG319" s="20"/>
      <c r="GH319" s="20"/>
      <c r="GI319" s="20"/>
      <c r="GJ319" s="20"/>
      <c r="GK319" s="20"/>
      <c r="GL319" s="20"/>
      <c r="GM319" s="20"/>
      <c r="GN319" s="20"/>
      <c r="GO319" s="20"/>
      <c r="GP319" s="20"/>
      <c r="GQ319" s="20"/>
      <c r="GR319" s="20"/>
      <c r="GS319" s="20"/>
      <c r="GT319" s="21"/>
      <c r="GU319" s="21"/>
      <c r="GV319" s="21"/>
      <c r="GW319" s="21"/>
      <c r="GX319" s="21"/>
      <c r="GY319" s="21"/>
      <c r="GZ319" s="21"/>
      <c r="HA319" s="21"/>
      <c r="HB319" s="21"/>
      <c r="HC319" s="21"/>
      <c r="HD319" s="21"/>
      <c r="HE319" s="21"/>
      <c r="HF319" s="21"/>
      <c r="HG319" s="21"/>
      <c r="HH319" s="21"/>
      <c r="HI319" s="21"/>
      <c r="HJ319" s="21"/>
      <c r="HK319" s="21"/>
      <c r="HL319" s="21"/>
      <c r="HM319" s="21"/>
      <c r="HN319" s="21"/>
      <c r="HO319" s="21"/>
      <c r="HP319" s="21"/>
      <c r="HQ319" s="21"/>
      <c r="HR319" s="21"/>
      <c r="HS319" s="21"/>
      <c r="HT319" s="21"/>
      <c r="HU319" s="21"/>
      <c r="HV319" s="21"/>
      <c r="HW319" s="21"/>
      <c r="HX319" s="21"/>
      <c r="HY319" s="21"/>
      <c r="HZ319" s="21"/>
      <c r="IA319" s="21"/>
      <c r="IB319" s="21"/>
      <c r="IC319" s="21"/>
      <c r="ID319" s="21"/>
      <c r="IE319" s="21"/>
      <c r="IF319" s="21"/>
      <c r="IG319" s="21"/>
      <c r="IH319" s="21"/>
      <c r="II319" s="21"/>
      <c r="IJ319" s="21"/>
      <c r="IK319" s="21"/>
      <c r="IL319" s="21"/>
      <c r="IM319" s="21"/>
      <c r="IN319" s="21"/>
      <c r="IO319" s="21"/>
      <c r="IP319" s="21"/>
      <c r="IQ319" s="21"/>
      <c r="IR319" s="21"/>
      <c r="IS319" s="21"/>
      <c r="IT319" s="21"/>
    </row>
    <row r="320" spans="1:254" s="3" customFormat="1" ht="27" customHeight="1">
      <c r="A320" s="11">
        <v>318</v>
      </c>
      <c r="B320" s="13" t="str">
        <f>"李彦隆"</f>
        <v>李彦隆</v>
      </c>
      <c r="C320" s="13" t="s">
        <v>21</v>
      </c>
      <c r="D320" s="13" t="str">
        <f>"230702202223"</f>
        <v>230702202223</v>
      </c>
      <c r="E320" s="18">
        <v>60.915</v>
      </c>
      <c r="F320" s="19" t="s">
        <v>10</v>
      </c>
      <c r="G320" s="19" t="s">
        <v>10</v>
      </c>
      <c r="H320" s="18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  <c r="DB320" s="20"/>
      <c r="DC320" s="20"/>
      <c r="DD320" s="20"/>
      <c r="DE320" s="20"/>
      <c r="DF320" s="20"/>
      <c r="DG320" s="20"/>
      <c r="DH320" s="20"/>
      <c r="DI320" s="20"/>
      <c r="DJ320" s="20"/>
      <c r="DK320" s="20"/>
      <c r="DL320" s="20"/>
      <c r="DM320" s="20"/>
      <c r="DN320" s="20"/>
      <c r="DO320" s="20"/>
      <c r="DP320" s="20"/>
      <c r="DQ320" s="20"/>
      <c r="DR320" s="20"/>
      <c r="DS320" s="20"/>
      <c r="DT320" s="20"/>
      <c r="DU320" s="20"/>
      <c r="DV320" s="20"/>
      <c r="DW320" s="20"/>
      <c r="DX320" s="20"/>
      <c r="DY320" s="20"/>
      <c r="DZ320" s="20"/>
      <c r="EA320" s="20"/>
      <c r="EB320" s="20"/>
      <c r="EC320" s="20"/>
      <c r="ED320" s="20"/>
      <c r="EE320" s="20"/>
      <c r="EF320" s="20"/>
      <c r="EG320" s="20"/>
      <c r="EH320" s="20"/>
      <c r="EI320" s="20"/>
      <c r="EJ320" s="20"/>
      <c r="EK320" s="20"/>
      <c r="EL320" s="20"/>
      <c r="EM320" s="20"/>
      <c r="EN320" s="20"/>
      <c r="EO320" s="20"/>
      <c r="EP320" s="20"/>
      <c r="EQ320" s="20"/>
      <c r="ER320" s="20"/>
      <c r="ES320" s="20"/>
      <c r="ET320" s="20"/>
      <c r="EU320" s="20"/>
      <c r="EV320" s="20"/>
      <c r="EW320" s="20"/>
      <c r="EX320" s="20"/>
      <c r="EY320" s="20"/>
      <c r="EZ320" s="20"/>
      <c r="FA320" s="20"/>
      <c r="FB320" s="20"/>
      <c r="FC320" s="20"/>
      <c r="FD320" s="20"/>
      <c r="FE320" s="20"/>
      <c r="FF320" s="20"/>
      <c r="FG320" s="20"/>
      <c r="FH320" s="20"/>
      <c r="FI320" s="20"/>
      <c r="FJ320" s="20"/>
      <c r="FK320" s="20"/>
      <c r="FL320" s="20"/>
      <c r="FM320" s="20"/>
      <c r="FN320" s="20"/>
      <c r="FO320" s="20"/>
      <c r="FP320" s="20"/>
      <c r="FQ320" s="20"/>
      <c r="FR320" s="20"/>
      <c r="FS320" s="20"/>
      <c r="FT320" s="20"/>
      <c r="FU320" s="20"/>
      <c r="FV320" s="20"/>
      <c r="FW320" s="20"/>
      <c r="FX320" s="20"/>
      <c r="FY320" s="20"/>
      <c r="FZ320" s="20"/>
      <c r="GA320" s="20"/>
      <c r="GB320" s="20"/>
      <c r="GC320" s="20"/>
      <c r="GD320" s="20"/>
      <c r="GE320" s="20"/>
      <c r="GF320" s="20"/>
      <c r="GG320" s="20"/>
      <c r="GH320" s="20"/>
      <c r="GI320" s="20"/>
      <c r="GJ320" s="20"/>
      <c r="GK320" s="20"/>
      <c r="GL320" s="20"/>
      <c r="GM320" s="20"/>
      <c r="GN320" s="20"/>
      <c r="GO320" s="20"/>
      <c r="GP320" s="20"/>
      <c r="GQ320" s="20"/>
      <c r="GR320" s="20"/>
      <c r="GS320" s="20"/>
      <c r="GT320" s="21"/>
      <c r="GU320" s="21"/>
      <c r="GV320" s="21"/>
      <c r="GW320" s="21"/>
      <c r="GX320" s="21"/>
      <c r="GY320" s="21"/>
      <c r="GZ320" s="21"/>
      <c r="HA320" s="21"/>
      <c r="HB320" s="21"/>
      <c r="HC320" s="21"/>
      <c r="HD320" s="21"/>
      <c r="HE320" s="21"/>
      <c r="HF320" s="21"/>
      <c r="HG320" s="21"/>
      <c r="HH320" s="21"/>
      <c r="HI320" s="21"/>
      <c r="HJ320" s="21"/>
      <c r="HK320" s="21"/>
      <c r="HL320" s="21"/>
      <c r="HM320" s="21"/>
      <c r="HN320" s="21"/>
      <c r="HO320" s="21"/>
      <c r="HP320" s="21"/>
      <c r="HQ320" s="21"/>
      <c r="HR320" s="21"/>
      <c r="HS320" s="21"/>
      <c r="HT320" s="21"/>
      <c r="HU320" s="21"/>
      <c r="HV320" s="21"/>
      <c r="HW320" s="21"/>
      <c r="HX320" s="21"/>
      <c r="HY320" s="21"/>
      <c r="HZ320" s="21"/>
      <c r="IA320" s="21"/>
      <c r="IB320" s="21"/>
      <c r="IC320" s="21"/>
      <c r="ID320" s="21"/>
      <c r="IE320" s="21"/>
      <c r="IF320" s="21"/>
      <c r="IG320" s="21"/>
      <c r="IH320" s="21"/>
      <c r="II320" s="21"/>
      <c r="IJ320" s="21"/>
      <c r="IK320" s="21"/>
      <c r="IL320" s="21"/>
      <c r="IM320" s="21"/>
      <c r="IN320" s="21"/>
      <c r="IO320" s="21"/>
      <c r="IP320" s="21"/>
      <c r="IQ320" s="21"/>
      <c r="IR320" s="21"/>
      <c r="IS320" s="21"/>
      <c r="IT320" s="21"/>
    </row>
    <row r="321" spans="1:254" s="3" customFormat="1" ht="27" customHeight="1">
      <c r="A321" s="11">
        <v>319</v>
      </c>
      <c r="B321" s="13" t="str">
        <f>"蓝立亚"</f>
        <v>蓝立亚</v>
      </c>
      <c r="C321" s="13" t="s">
        <v>21</v>
      </c>
      <c r="D321" s="13" t="str">
        <f>"230702202122"</f>
        <v>230702202122</v>
      </c>
      <c r="E321" s="18">
        <v>60.885</v>
      </c>
      <c r="F321" s="19" t="s">
        <v>10</v>
      </c>
      <c r="G321" s="19" t="s">
        <v>10</v>
      </c>
      <c r="H321" s="18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  <c r="DC321" s="20"/>
      <c r="DD321" s="20"/>
      <c r="DE321" s="20"/>
      <c r="DF321" s="20"/>
      <c r="DG321" s="20"/>
      <c r="DH321" s="20"/>
      <c r="DI321" s="20"/>
      <c r="DJ321" s="20"/>
      <c r="DK321" s="20"/>
      <c r="DL321" s="20"/>
      <c r="DM321" s="20"/>
      <c r="DN321" s="20"/>
      <c r="DO321" s="20"/>
      <c r="DP321" s="20"/>
      <c r="DQ321" s="20"/>
      <c r="DR321" s="20"/>
      <c r="DS321" s="20"/>
      <c r="DT321" s="20"/>
      <c r="DU321" s="20"/>
      <c r="DV321" s="20"/>
      <c r="DW321" s="20"/>
      <c r="DX321" s="20"/>
      <c r="DY321" s="20"/>
      <c r="DZ321" s="20"/>
      <c r="EA321" s="20"/>
      <c r="EB321" s="20"/>
      <c r="EC321" s="20"/>
      <c r="ED321" s="20"/>
      <c r="EE321" s="20"/>
      <c r="EF321" s="20"/>
      <c r="EG321" s="20"/>
      <c r="EH321" s="20"/>
      <c r="EI321" s="20"/>
      <c r="EJ321" s="20"/>
      <c r="EK321" s="20"/>
      <c r="EL321" s="20"/>
      <c r="EM321" s="20"/>
      <c r="EN321" s="20"/>
      <c r="EO321" s="20"/>
      <c r="EP321" s="20"/>
      <c r="EQ321" s="20"/>
      <c r="ER321" s="20"/>
      <c r="ES321" s="20"/>
      <c r="ET321" s="20"/>
      <c r="EU321" s="20"/>
      <c r="EV321" s="20"/>
      <c r="EW321" s="20"/>
      <c r="EX321" s="20"/>
      <c r="EY321" s="20"/>
      <c r="EZ321" s="20"/>
      <c r="FA321" s="20"/>
      <c r="FB321" s="20"/>
      <c r="FC321" s="20"/>
      <c r="FD321" s="20"/>
      <c r="FE321" s="20"/>
      <c r="FF321" s="20"/>
      <c r="FG321" s="20"/>
      <c r="FH321" s="20"/>
      <c r="FI321" s="20"/>
      <c r="FJ321" s="20"/>
      <c r="FK321" s="20"/>
      <c r="FL321" s="20"/>
      <c r="FM321" s="20"/>
      <c r="FN321" s="20"/>
      <c r="FO321" s="20"/>
      <c r="FP321" s="20"/>
      <c r="FQ321" s="20"/>
      <c r="FR321" s="20"/>
      <c r="FS321" s="20"/>
      <c r="FT321" s="20"/>
      <c r="FU321" s="20"/>
      <c r="FV321" s="20"/>
      <c r="FW321" s="20"/>
      <c r="FX321" s="20"/>
      <c r="FY321" s="20"/>
      <c r="FZ321" s="20"/>
      <c r="GA321" s="20"/>
      <c r="GB321" s="20"/>
      <c r="GC321" s="20"/>
      <c r="GD321" s="20"/>
      <c r="GE321" s="20"/>
      <c r="GF321" s="20"/>
      <c r="GG321" s="20"/>
      <c r="GH321" s="20"/>
      <c r="GI321" s="20"/>
      <c r="GJ321" s="20"/>
      <c r="GK321" s="20"/>
      <c r="GL321" s="20"/>
      <c r="GM321" s="20"/>
      <c r="GN321" s="20"/>
      <c r="GO321" s="20"/>
      <c r="GP321" s="20"/>
      <c r="GQ321" s="20"/>
      <c r="GR321" s="20"/>
      <c r="GS321" s="20"/>
      <c r="GT321" s="21"/>
      <c r="GU321" s="21"/>
      <c r="GV321" s="21"/>
      <c r="GW321" s="21"/>
      <c r="GX321" s="21"/>
      <c r="GY321" s="21"/>
      <c r="GZ321" s="21"/>
      <c r="HA321" s="21"/>
      <c r="HB321" s="21"/>
      <c r="HC321" s="21"/>
      <c r="HD321" s="21"/>
      <c r="HE321" s="21"/>
      <c r="HF321" s="21"/>
      <c r="HG321" s="21"/>
      <c r="HH321" s="21"/>
      <c r="HI321" s="21"/>
      <c r="HJ321" s="21"/>
      <c r="HK321" s="21"/>
      <c r="HL321" s="21"/>
      <c r="HM321" s="21"/>
      <c r="HN321" s="21"/>
      <c r="HO321" s="21"/>
      <c r="HP321" s="21"/>
      <c r="HQ321" s="21"/>
      <c r="HR321" s="21"/>
      <c r="HS321" s="21"/>
      <c r="HT321" s="21"/>
      <c r="HU321" s="21"/>
      <c r="HV321" s="21"/>
      <c r="HW321" s="21"/>
      <c r="HX321" s="21"/>
      <c r="HY321" s="21"/>
      <c r="HZ321" s="21"/>
      <c r="IA321" s="21"/>
      <c r="IB321" s="21"/>
      <c r="IC321" s="21"/>
      <c r="ID321" s="21"/>
      <c r="IE321" s="21"/>
      <c r="IF321" s="21"/>
      <c r="IG321" s="21"/>
      <c r="IH321" s="21"/>
      <c r="II321" s="21"/>
      <c r="IJ321" s="21"/>
      <c r="IK321" s="21"/>
      <c r="IL321" s="21"/>
      <c r="IM321" s="21"/>
      <c r="IN321" s="21"/>
      <c r="IO321" s="21"/>
      <c r="IP321" s="21"/>
      <c r="IQ321" s="21"/>
      <c r="IR321" s="21"/>
      <c r="IS321" s="21"/>
      <c r="IT321" s="21"/>
    </row>
    <row r="322" spans="1:254" s="3" customFormat="1" ht="27" customHeight="1">
      <c r="A322" s="11">
        <v>320</v>
      </c>
      <c r="B322" s="13" t="str">
        <f>"邢华强"</f>
        <v>邢华强</v>
      </c>
      <c r="C322" s="13" t="s">
        <v>21</v>
      </c>
      <c r="D322" s="13" t="str">
        <f>"230702201815"</f>
        <v>230702201815</v>
      </c>
      <c r="E322" s="18">
        <v>60.765</v>
      </c>
      <c r="F322" s="19" t="s">
        <v>10</v>
      </c>
      <c r="G322" s="19" t="s">
        <v>10</v>
      </c>
      <c r="H322" s="18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  <c r="DB322" s="20"/>
      <c r="DC322" s="20"/>
      <c r="DD322" s="20"/>
      <c r="DE322" s="20"/>
      <c r="DF322" s="20"/>
      <c r="DG322" s="20"/>
      <c r="DH322" s="20"/>
      <c r="DI322" s="20"/>
      <c r="DJ322" s="20"/>
      <c r="DK322" s="20"/>
      <c r="DL322" s="20"/>
      <c r="DM322" s="20"/>
      <c r="DN322" s="20"/>
      <c r="DO322" s="20"/>
      <c r="DP322" s="20"/>
      <c r="DQ322" s="20"/>
      <c r="DR322" s="20"/>
      <c r="DS322" s="20"/>
      <c r="DT322" s="20"/>
      <c r="DU322" s="20"/>
      <c r="DV322" s="20"/>
      <c r="DW322" s="20"/>
      <c r="DX322" s="20"/>
      <c r="DY322" s="20"/>
      <c r="DZ322" s="20"/>
      <c r="EA322" s="20"/>
      <c r="EB322" s="20"/>
      <c r="EC322" s="20"/>
      <c r="ED322" s="20"/>
      <c r="EE322" s="20"/>
      <c r="EF322" s="20"/>
      <c r="EG322" s="20"/>
      <c r="EH322" s="20"/>
      <c r="EI322" s="20"/>
      <c r="EJ322" s="20"/>
      <c r="EK322" s="20"/>
      <c r="EL322" s="20"/>
      <c r="EM322" s="20"/>
      <c r="EN322" s="20"/>
      <c r="EO322" s="20"/>
      <c r="EP322" s="20"/>
      <c r="EQ322" s="20"/>
      <c r="ER322" s="20"/>
      <c r="ES322" s="20"/>
      <c r="ET322" s="20"/>
      <c r="EU322" s="20"/>
      <c r="EV322" s="20"/>
      <c r="EW322" s="20"/>
      <c r="EX322" s="20"/>
      <c r="EY322" s="20"/>
      <c r="EZ322" s="20"/>
      <c r="FA322" s="20"/>
      <c r="FB322" s="20"/>
      <c r="FC322" s="20"/>
      <c r="FD322" s="20"/>
      <c r="FE322" s="20"/>
      <c r="FF322" s="20"/>
      <c r="FG322" s="20"/>
      <c r="FH322" s="20"/>
      <c r="FI322" s="20"/>
      <c r="FJ322" s="20"/>
      <c r="FK322" s="20"/>
      <c r="FL322" s="20"/>
      <c r="FM322" s="20"/>
      <c r="FN322" s="20"/>
      <c r="FO322" s="20"/>
      <c r="FP322" s="20"/>
      <c r="FQ322" s="20"/>
      <c r="FR322" s="20"/>
      <c r="FS322" s="20"/>
      <c r="FT322" s="20"/>
      <c r="FU322" s="20"/>
      <c r="FV322" s="20"/>
      <c r="FW322" s="20"/>
      <c r="FX322" s="20"/>
      <c r="FY322" s="20"/>
      <c r="FZ322" s="20"/>
      <c r="GA322" s="20"/>
      <c r="GB322" s="20"/>
      <c r="GC322" s="20"/>
      <c r="GD322" s="20"/>
      <c r="GE322" s="20"/>
      <c r="GF322" s="20"/>
      <c r="GG322" s="20"/>
      <c r="GH322" s="20"/>
      <c r="GI322" s="20"/>
      <c r="GJ322" s="20"/>
      <c r="GK322" s="20"/>
      <c r="GL322" s="20"/>
      <c r="GM322" s="20"/>
      <c r="GN322" s="20"/>
      <c r="GO322" s="20"/>
      <c r="GP322" s="20"/>
      <c r="GQ322" s="20"/>
      <c r="GR322" s="20"/>
      <c r="GS322" s="20"/>
      <c r="GT322" s="21"/>
      <c r="GU322" s="21"/>
      <c r="GV322" s="21"/>
      <c r="GW322" s="21"/>
      <c r="GX322" s="21"/>
      <c r="GY322" s="21"/>
      <c r="GZ322" s="21"/>
      <c r="HA322" s="21"/>
      <c r="HB322" s="21"/>
      <c r="HC322" s="21"/>
      <c r="HD322" s="21"/>
      <c r="HE322" s="21"/>
      <c r="HF322" s="21"/>
      <c r="HG322" s="21"/>
      <c r="HH322" s="21"/>
      <c r="HI322" s="21"/>
      <c r="HJ322" s="21"/>
      <c r="HK322" s="21"/>
      <c r="HL322" s="21"/>
      <c r="HM322" s="21"/>
      <c r="HN322" s="21"/>
      <c r="HO322" s="21"/>
      <c r="HP322" s="21"/>
      <c r="HQ322" s="21"/>
      <c r="HR322" s="21"/>
      <c r="HS322" s="21"/>
      <c r="HT322" s="21"/>
      <c r="HU322" s="21"/>
      <c r="HV322" s="21"/>
      <c r="HW322" s="21"/>
      <c r="HX322" s="21"/>
      <c r="HY322" s="21"/>
      <c r="HZ322" s="21"/>
      <c r="IA322" s="21"/>
      <c r="IB322" s="21"/>
      <c r="IC322" s="21"/>
      <c r="ID322" s="21"/>
      <c r="IE322" s="21"/>
      <c r="IF322" s="21"/>
      <c r="IG322" s="21"/>
      <c r="IH322" s="21"/>
      <c r="II322" s="21"/>
      <c r="IJ322" s="21"/>
      <c r="IK322" s="21"/>
      <c r="IL322" s="21"/>
      <c r="IM322" s="21"/>
      <c r="IN322" s="21"/>
      <c r="IO322" s="21"/>
      <c r="IP322" s="21"/>
      <c r="IQ322" s="21"/>
      <c r="IR322" s="21"/>
      <c r="IS322" s="21"/>
      <c r="IT322" s="21"/>
    </row>
    <row r="323" spans="1:254" s="3" customFormat="1" ht="27" customHeight="1">
      <c r="A323" s="11">
        <v>321</v>
      </c>
      <c r="B323" s="13" t="str">
        <f>"黄亚滴"</f>
        <v>黄亚滴</v>
      </c>
      <c r="C323" s="13" t="s">
        <v>21</v>
      </c>
      <c r="D323" s="13" t="str">
        <f>"230702201912"</f>
        <v>230702201912</v>
      </c>
      <c r="E323" s="18">
        <v>60.385</v>
      </c>
      <c r="F323" s="19" t="s">
        <v>10</v>
      </c>
      <c r="G323" s="19" t="s">
        <v>10</v>
      </c>
      <c r="H323" s="18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  <c r="CX323" s="20"/>
      <c r="CY323" s="20"/>
      <c r="CZ323" s="20"/>
      <c r="DA323" s="20"/>
      <c r="DB323" s="20"/>
      <c r="DC323" s="20"/>
      <c r="DD323" s="20"/>
      <c r="DE323" s="20"/>
      <c r="DF323" s="20"/>
      <c r="DG323" s="20"/>
      <c r="DH323" s="20"/>
      <c r="DI323" s="20"/>
      <c r="DJ323" s="20"/>
      <c r="DK323" s="20"/>
      <c r="DL323" s="20"/>
      <c r="DM323" s="20"/>
      <c r="DN323" s="20"/>
      <c r="DO323" s="20"/>
      <c r="DP323" s="20"/>
      <c r="DQ323" s="20"/>
      <c r="DR323" s="20"/>
      <c r="DS323" s="20"/>
      <c r="DT323" s="20"/>
      <c r="DU323" s="20"/>
      <c r="DV323" s="20"/>
      <c r="DW323" s="20"/>
      <c r="DX323" s="20"/>
      <c r="DY323" s="20"/>
      <c r="DZ323" s="20"/>
      <c r="EA323" s="20"/>
      <c r="EB323" s="20"/>
      <c r="EC323" s="20"/>
      <c r="ED323" s="20"/>
      <c r="EE323" s="20"/>
      <c r="EF323" s="20"/>
      <c r="EG323" s="20"/>
      <c r="EH323" s="20"/>
      <c r="EI323" s="20"/>
      <c r="EJ323" s="20"/>
      <c r="EK323" s="20"/>
      <c r="EL323" s="20"/>
      <c r="EM323" s="20"/>
      <c r="EN323" s="20"/>
      <c r="EO323" s="20"/>
      <c r="EP323" s="20"/>
      <c r="EQ323" s="20"/>
      <c r="ER323" s="20"/>
      <c r="ES323" s="20"/>
      <c r="ET323" s="20"/>
      <c r="EU323" s="20"/>
      <c r="EV323" s="20"/>
      <c r="EW323" s="20"/>
      <c r="EX323" s="20"/>
      <c r="EY323" s="20"/>
      <c r="EZ323" s="20"/>
      <c r="FA323" s="20"/>
      <c r="FB323" s="20"/>
      <c r="FC323" s="20"/>
      <c r="FD323" s="20"/>
      <c r="FE323" s="20"/>
      <c r="FF323" s="20"/>
      <c r="FG323" s="20"/>
      <c r="FH323" s="20"/>
      <c r="FI323" s="20"/>
      <c r="FJ323" s="20"/>
      <c r="FK323" s="20"/>
      <c r="FL323" s="20"/>
      <c r="FM323" s="20"/>
      <c r="FN323" s="20"/>
      <c r="FO323" s="20"/>
      <c r="FP323" s="20"/>
      <c r="FQ323" s="20"/>
      <c r="FR323" s="20"/>
      <c r="FS323" s="20"/>
      <c r="FT323" s="20"/>
      <c r="FU323" s="20"/>
      <c r="FV323" s="20"/>
      <c r="FW323" s="20"/>
      <c r="FX323" s="20"/>
      <c r="FY323" s="20"/>
      <c r="FZ323" s="20"/>
      <c r="GA323" s="20"/>
      <c r="GB323" s="20"/>
      <c r="GC323" s="20"/>
      <c r="GD323" s="20"/>
      <c r="GE323" s="20"/>
      <c r="GF323" s="20"/>
      <c r="GG323" s="20"/>
      <c r="GH323" s="20"/>
      <c r="GI323" s="20"/>
      <c r="GJ323" s="20"/>
      <c r="GK323" s="20"/>
      <c r="GL323" s="20"/>
      <c r="GM323" s="20"/>
      <c r="GN323" s="20"/>
      <c r="GO323" s="20"/>
      <c r="GP323" s="20"/>
      <c r="GQ323" s="20"/>
      <c r="GR323" s="20"/>
      <c r="GS323" s="20"/>
      <c r="GT323" s="21"/>
      <c r="GU323" s="21"/>
      <c r="GV323" s="21"/>
      <c r="GW323" s="21"/>
      <c r="GX323" s="21"/>
      <c r="GY323" s="21"/>
      <c r="GZ323" s="21"/>
      <c r="HA323" s="21"/>
      <c r="HB323" s="21"/>
      <c r="HC323" s="21"/>
      <c r="HD323" s="21"/>
      <c r="HE323" s="21"/>
      <c r="HF323" s="21"/>
      <c r="HG323" s="21"/>
      <c r="HH323" s="21"/>
      <c r="HI323" s="21"/>
      <c r="HJ323" s="21"/>
      <c r="HK323" s="21"/>
      <c r="HL323" s="21"/>
      <c r="HM323" s="21"/>
      <c r="HN323" s="21"/>
      <c r="HO323" s="21"/>
      <c r="HP323" s="21"/>
      <c r="HQ323" s="21"/>
      <c r="HR323" s="21"/>
      <c r="HS323" s="21"/>
      <c r="HT323" s="21"/>
      <c r="HU323" s="21"/>
      <c r="HV323" s="21"/>
      <c r="HW323" s="21"/>
      <c r="HX323" s="21"/>
      <c r="HY323" s="21"/>
      <c r="HZ323" s="21"/>
      <c r="IA323" s="21"/>
      <c r="IB323" s="21"/>
      <c r="IC323" s="21"/>
      <c r="ID323" s="21"/>
      <c r="IE323" s="21"/>
      <c r="IF323" s="21"/>
      <c r="IG323" s="21"/>
      <c r="IH323" s="21"/>
      <c r="II323" s="21"/>
      <c r="IJ323" s="21"/>
      <c r="IK323" s="21"/>
      <c r="IL323" s="21"/>
      <c r="IM323" s="21"/>
      <c r="IN323" s="21"/>
      <c r="IO323" s="21"/>
      <c r="IP323" s="21"/>
      <c r="IQ323" s="21"/>
      <c r="IR323" s="21"/>
      <c r="IS323" s="21"/>
      <c r="IT323" s="21"/>
    </row>
    <row r="324" spans="1:254" s="3" customFormat="1" ht="27" customHeight="1">
      <c r="A324" s="11">
        <v>322</v>
      </c>
      <c r="B324" s="13" t="str">
        <f>"张敏"</f>
        <v>张敏</v>
      </c>
      <c r="C324" s="13" t="s">
        <v>21</v>
      </c>
      <c r="D324" s="13" t="str">
        <f>"230702202110"</f>
        <v>230702202110</v>
      </c>
      <c r="E324" s="18">
        <v>60.15</v>
      </c>
      <c r="F324" s="19" t="s">
        <v>10</v>
      </c>
      <c r="G324" s="19" t="s">
        <v>10</v>
      </c>
      <c r="H324" s="18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  <c r="CQ324" s="20"/>
      <c r="CR324" s="20"/>
      <c r="CS324" s="20"/>
      <c r="CT324" s="20"/>
      <c r="CU324" s="20"/>
      <c r="CV324" s="20"/>
      <c r="CW324" s="20"/>
      <c r="CX324" s="20"/>
      <c r="CY324" s="20"/>
      <c r="CZ324" s="20"/>
      <c r="DA324" s="20"/>
      <c r="DB324" s="20"/>
      <c r="DC324" s="20"/>
      <c r="DD324" s="20"/>
      <c r="DE324" s="20"/>
      <c r="DF324" s="20"/>
      <c r="DG324" s="20"/>
      <c r="DH324" s="20"/>
      <c r="DI324" s="20"/>
      <c r="DJ324" s="20"/>
      <c r="DK324" s="20"/>
      <c r="DL324" s="20"/>
      <c r="DM324" s="20"/>
      <c r="DN324" s="20"/>
      <c r="DO324" s="20"/>
      <c r="DP324" s="20"/>
      <c r="DQ324" s="20"/>
      <c r="DR324" s="20"/>
      <c r="DS324" s="20"/>
      <c r="DT324" s="20"/>
      <c r="DU324" s="20"/>
      <c r="DV324" s="20"/>
      <c r="DW324" s="20"/>
      <c r="DX324" s="20"/>
      <c r="DY324" s="20"/>
      <c r="DZ324" s="20"/>
      <c r="EA324" s="20"/>
      <c r="EB324" s="20"/>
      <c r="EC324" s="20"/>
      <c r="ED324" s="20"/>
      <c r="EE324" s="20"/>
      <c r="EF324" s="20"/>
      <c r="EG324" s="20"/>
      <c r="EH324" s="20"/>
      <c r="EI324" s="20"/>
      <c r="EJ324" s="20"/>
      <c r="EK324" s="20"/>
      <c r="EL324" s="20"/>
      <c r="EM324" s="20"/>
      <c r="EN324" s="20"/>
      <c r="EO324" s="20"/>
      <c r="EP324" s="20"/>
      <c r="EQ324" s="20"/>
      <c r="ER324" s="20"/>
      <c r="ES324" s="20"/>
      <c r="ET324" s="20"/>
      <c r="EU324" s="20"/>
      <c r="EV324" s="20"/>
      <c r="EW324" s="20"/>
      <c r="EX324" s="20"/>
      <c r="EY324" s="20"/>
      <c r="EZ324" s="20"/>
      <c r="FA324" s="20"/>
      <c r="FB324" s="20"/>
      <c r="FC324" s="20"/>
      <c r="FD324" s="20"/>
      <c r="FE324" s="20"/>
      <c r="FF324" s="20"/>
      <c r="FG324" s="20"/>
      <c r="FH324" s="20"/>
      <c r="FI324" s="20"/>
      <c r="FJ324" s="20"/>
      <c r="FK324" s="20"/>
      <c r="FL324" s="20"/>
      <c r="FM324" s="20"/>
      <c r="FN324" s="20"/>
      <c r="FO324" s="20"/>
      <c r="FP324" s="20"/>
      <c r="FQ324" s="20"/>
      <c r="FR324" s="20"/>
      <c r="FS324" s="20"/>
      <c r="FT324" s="20"/>
      <c r="FU324" s="20"/>
      <c r="FV324" s="20"/>
      <c r="FW324" s="20"/>
      <c r="FX324" s="20"/>
      <c r="FY324" s="20"/>
      <c r="FZ324" s="20"/>
      <c r="GA324" s="20"/>
      <c r="GB324" s="20"/>
      <c r="GC324" s="20"/>
      <c r="GD324" s="20"/>
      <c r="GE324" s="20"/>
      <c r="GF324" s="20"/>
      <c r="GG324" s="20"/>
      <c r="GH324" s="20"/>
      <c r="GI324" s="20"/>
      <c r="GJ324" s="20"/>
      <c r="GK324" s="20"/>
      <c r="GL324" s="20"/>
      <c r="GM324" s="20"/>
      <c r="GN324" s="20"/>
      <c r="GO324" s="20"/>
      <c r="GP324" s="20"/>
      <c r="GQ324" s="20"/>
      <c r="GR324" s="20"/>
      <c r="GS324" s="20"/>
      <c r="GT324" s="21"/>
      <c r="GU324" s="21"/>
      <c r="GV324" s="21"/>
      <c r="GW324" s="21"/>
      <c r="GX324" s="21"/>
      <c r="GY324" s="21"/>
      <c r="GZ324" s="21"/>
      <c r="HA324" s="21"/>
      <c r="HB324" s="21"/>
      <c r="HC324" s="21"/>
      <c r="HD324" s="21"/>
      <c r="HE324" s="21"/>
      <c r="HF324" s="21"/>
      <c r="HG324" s="21"/>
      <c r="HH324" s="21"/>
      <c r="HI324" s="21"/>
      <c r="HJ324" s="21"/>
      <c r="HK324" s="21"/>
      <c r="HL324" s="21"/>
      <c r="HM324" s="21"/>
      <c r="HN324" s="21"/>
      <c r="HO324" s="21"/>
      <c r="HP324" s="21"/>
      <c r="HQ324" s="21"/>
      <c r="HR324" s="21"/>
      <c r="HS324" s="21"/>
      <c r="HT324" s="21"/>
      <c r="HU324" s="21"/>
      <c r="HV324" s="21"/>
      <c r="HW324" s="21"/>
      <c r="HX324" s="21"/>
      <c r="HY324" s="21"/>
      <c r="HZ324" s="21"/>
      <c r="IA324" s="21"/>
      <c r="IB324" s="21"/>
      <c r="IC324" s="21"/>
      <c r="ID324" s="21"/>
      <c r="IE324" s="21"/>
      <c r="IF324" s="21"/>
      <c r="IG324" s="21"/>
      <c r="IH324" s="21"/>
      <c r="II324" s="21"/>
      <c r="IJ324" s="21"/>
      <c r="IK324" s="21"/>
      <c r="IL324" s="21"/>
      <c r="IM324" s="21"/>
      <c r="IN324" s="21"/>
      <c r="IO324" s="21"/>
      <c r="IP324" s="21"/>
      <c r="IQ324" s="21"/>
      <c r="IR324" s="21"/>
      <c r="IS324" s="21"/>
      <c r="IT324" s="21"/>
    </row>
    <row r="325" spans="1:254" s="3" customFormat="1" ht="27" customHeight="1">
      <c r="A325" s="11">
        <v>323</v>
      </c>
      <c r="B325" s="13" t="str">
        <f>"吴鹏源"</f>
        <v>吴鹏源</v>
      </c>
      <c r="C325" s="13" t="s">
        <v>21</v>
      </c>
      <c r="D325" s="13" t="str">
        <f>"230702202025"</f>
        <v>230702202025</v>
      </c>
      <c r="E325" s="18">
        <v>59.935</v>
      </c>
      <c r="F325" s="19" t="s">
        <v>10</v>
      </c>
      <c r="G325" s="19" t="s">
        <v>10</v>
      </c>
      <c r="H325" s="18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  <c r="CQ325" s="20"/>
      <c r="CR325" s="20"/>
      <c r="CS325" s="20"/>
      <c r="CT325" s="20"/>
      <c r="CU325" s="20"/>
      <c r="CV325" s="20"/>
      <c r="CW325" s="20"/>
      <c r="CX325" s="20"/>
      <c r="CY325" s="20"/>
      <c r="CZ325" s="20"/>
      <c r="DA325" s="20"/>
      <c r="DB325" s="20"/>
      <c r="DC325" s="20"/>
      <c r="DD325" s="20"/>
      <c r="DE325" s="20"/>
      <c r="DF325" s="20"/>
      <c r="DG325" s="20"/>
      <c r="DH325" s="20"/>
      <c r="DI325" s="20"/>
      <c r="DJ325" s="20"/>
      <c r="DK325" s="20"/>
      <c r="DL325" s="20"/>
      <c r="DM325" s="20"/>
      <c r="DN325" s="20"/>
      <c r="DO325" s="20"/>
      <c r="DP325" s="20"/>
      <c r="DQ325" s="20"/>
      <c r="DR325" s="20"/>
      <c r="DS325" s="20"/>
      <c r="DT325" s="20"/>
      <c r="DU325" s="20"/>
      <c r="DV325" s="20"/>
      <c r="DW325" s="20"/>
      <c r="DX325" s="20"/>
      <c r="DY325" s="20"/>
      <c r="DZ325" s="20"/>
      <c r="EA325" s="20"/>
      <c r="EB325" s="20"/>
      <c r="EC325" s="20"/>
      <c r="ED325" s="20"/>
      <c r="EE325" s="20"/>
      <c r="EF325" s="20"/>
      <c r="EG325" s="20"/>
      <c r="EH325" s="20"/>
      <c r="EI325" s="20"/>
      <c r="EJ325" s="20"/>
      <c r="EK325" s="20"/>
      <c r="EL325" s="20"/>
      <c r="EM325" s="20"/>
      <c r="EN325" s="20"/>
      <c r="EO325" s="20"/>
      <c r="EP325" s="20"/>
      <c r="EQ325" s="20"/>
      <c r="ER325" s="20"/>
      <c r="ES325" s="20"/>
      <c r="ET325" s="20"/>
      <c r="EU325" s="20"/>
      <c r="EV325" s="20"/>
      <c r="EW325" s="20"/>
      <c r="EX325" s="20"/>
      <c r="EY325" s="20"/>
      <c r="EZ325" s="20"/>
      <c r="FA325" s="20"/>
      <c r="FB325" s="20"/>
      <c r="FC325" s="20"/>
      <c r="FD325" s="20"/>
      <c r="FE325" s="20"/>
      <c r="FF325" s="20"/>
      <c r="FG325" s="20"/>
      <c r="FH325" s="20"/>
      <c r="FI325" s="20"/>
      <c r="FJ325" s="20"/>
      <c r="FK325" s="20"/>
      <c r="FL325" s="20"/>
      <c r="FM325" s="20"/>
      <c r="FN325" s="20"/>
      <c r="FO325" s="20"/>
      <c r="FP325" s="20"/>
      <c r="FQ325" s="20"/>
      <c r="FR325" s="20"/>
      <c r="FS325" s="20"/>
      <c r="FT325" s="20"/>
      <c r="FU325" s="20"/>
      <c r="FV325" s="20"/>
      <c r="FW325" s="20"/>
      <c r="FX325" s="20"/>
      <c r="FY325" s="20"/>
      <c r="FZ325" s="20"/>
      <c r="GA325" s="20"/>
      <c r="GB325" s="20"/>
      <c r="GC325" s="20"/>
      <c r="GD325" s="20"/>
      <c r="GE325" s="20"/>
      <c r="GF325" s="20"/>
      <c r="GG325" s="20"/>
      <c r="GH325" s="20"/>
      <c r="GI325" s="20"/>
      <c r="GJ325" s="20"/>
      <c r="GK325" s="20"/>
      <c r="GL325" s="20"/>
      <c r="GM325" s="20"/>
      <c r="GN325" s="20"/>
      <c r="GO325" s="20"/>
      <c r="GP325" s="20"/>
      <c r="GQ325" s="20"/>
      <c r="GR325" s="20"/>
      <c r="GS325" s="20"/>
      <c r="GT325" s="21"/>
      <c r="GU325" s="21"/>
      <c r="GV325" s="21"/>
      <c r="GW325" s="21"/>
      <c r="GX325" s="21"/>
      <c r="GY325" s="21"/>
      <c r="GZ325" s="21"/>
      <c r="HA325" s="21"/>
      <c r="HB325" s="21"/>
      <c r="HC325" s="21"/>
      <c r="HD325" s="21"/>
      <c r="HE325" s="21"/>
      <c r="HF325" s="21"/>
      <c r="HG325" s="21"/>
      <c r="HH325" s="21"/>
      <c r="HI325" s="21"/>
      <c r="HJ325" s="21"/>
      <c r="HK325" s="21"/>
      <c r="HL325" s="21"/>
      <c r="HM325" s="21"/>
      <c r="HN325" s="21"/>
      <c r="HO325" s="21"/>
      <c r="HP325" s="21"/>
      <c r="HQ325" s="21"/>
      <c r="HR325" s="21"/>
      <c r="HS325" s="21"/>
      <c r="HT325" s="21"/>
      <c r="HU325" s="21"/>
      <c r="HV325" s="21"/>
      <c r="HW325" s="21"/>
      <c r="HX325" s="21"/>
      <c r="HY325" s="21"/>
      <c r="HZ325" s="21"/>
      <c r="IA325" s="21"/>
      <c r="IB325" s="21"/>
      <c r="IC325" s="21"/>
      <c r="ID325" s="21"/>
      <c r="IE325" s="21"/>
      <c r="IF325" s="21"/>
      <c r="IG325" s="21"/>
      <c r="IH325" s="21"/>
      <c r="II325" s="21"/>
      <c r="IJ325" s="21"/>
      <c r="IK325" s="21"/>
      <c r="IL325" s="21"/>
      <c r="IM325" s="21"/>
      <c r="IN325" s="21"/>
      <c r="IO325" s="21"/>
      <c r="IP325" s="21"/>
      <c r="IQ325" s="21"/>
      <c r="IR325" s="21"/>
      <c r="IS325" s="21"/>
      <c r="IT325" s="21"/>
    </row>
    <row r="326" spans="1:254" s="3" customFormat="1" ht="27" customHeight="1">
      <c r="A326" s="11">
        <v>324</v>
      </c>
      <c r="B326" s="13" t="str">
        <f>"关万民"</f>
        <v>关万民</v>
      </c>
      <c r="C326" s="13" t="s">
        <v>21</v>
      </c>
      <c r="D326" s="13" t="str">
        <f>"230702201820"</f>
        <v>230702201820</v>
      </c>
      <c r="E326" s="18">
        <v>59.9</v>
      </c>
      <c r="F326" s="19" t="s">
        <v>10</v>
      </c>
      <c r="G326" s="19" t="s">
        <v>10</v>
      </c>
      <c r="H326" s="18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  <c r="CQ326" s="20"/>
      <c r="CR326" s="20"/>
      <c r="CS326" s="20"/>
      <c r="CT326" s="20"/>
      <c r="CU326" s="20"/>
      <c r="CV326" s="20"/>
      <c r="CW326" s="20"/>
      <c r="CX326" s="20"/>
      <c r="CY326" s="20"/>
      <c r="CZ326" s="20"/>
      <c r="DA326" s="20"/>
      <c r="DB326" s="20"/>
      <c r="DC326" s="20"/>
      <c r="DD326" s="20"/>
      <c r="DE326" s="20"/>
      <c r="DF326" s="20"/>
      <c r="DG326" s="20"/>
      <c r="DH326" s="20"/>
      <c r="DI326" s="20"/>
      <c r="DJ326" s="20"/>
      <c r="DK326" s="20"/>
      <c r="DL326" s="20"/>
      <c r="DM326" s="20"/>
      <c r="DN326" s="20"/>
      <c r="DO326" s="20"/>
      <c r="DP326" s="20"/>
      <c r="DQ326" s="20"/>
      <c r="DR326" s="20"/>
      <c r="DS326" s="20"/>
      <c r="DT326" s="20"/>
      <c r="DU326" s="20"/>
      <c r="DV326" s="20"/>
      <c r="DW326" s="20"/>
      <c r="DX326" s="20"/>
      <c r="DY326" s="20"/>
      <c r="DZ326" s="20"/>
      <c r="EA326" s="20"/>
      <c r="EB326" s="20"/>
      <c r="EC326" s="20"/>
      <c r="ED326" s="20"/>
      <c r="EE326" s="20"/>
      <c r="EF326" s="20"/>
      <c r="EG326" s="20"/>
      <c r="EH326" s="20"/>
      <c r="EI326" s="20"/>
      <c r="EJ326" s="20"/>
      <c r="EK326" s="20"/>
      <c r="EL326" s="20"/>
      <c r="EM326" s="20"/>
      <c r="EN326" s="20"/>
      <c r="EO326" s="20"/>
      <c r="EP326" s="20"/>
      <c r="EQ326" s="20"/>
      <c r="ER326" s="20"/>
      <c r="ES326" s="20"/>
      <c r="ET326" s="20"/>
      <c r="EU326" s="20"/>
      <c r="EV326" s="20"/>
      <c r="EW326" s="20"/>
      <c r="EX326" s="20"/>
      <c r="EY326" s="20"/>
      <c r="EZ326" s="20"/>
      <c r="FA326" s="20"/>
      <c r="FB326" s="20"/>
      <c r="FC326" s="20"/>
      <c r="FD326" s="20"/>
      <c r="FE326" s="20"/>
      <c r="FF326" s="20"/>
      <c r="FG326" s="20"/>
      <c r="FH326" s="20"/>
      <c r="FI326" s="20"/>
      <c r="FJ326" s="20"/>
      <c r="FK326" s="20"/>
      <c r="FL326" s="20"/>
      <c r="FM326" s="20"/>
      <c r="FN326" s="20"/>
      <c r="FO326" s="20"/>
      <c r="FP326" s="20"/>
      <c r="FQ326" s="20"/>
      <c r="FR326" s="20"/>
      <c r="FS326" s="20"/>
      <c r="FT326" s="20"/>
      <c r="FU326" s="20"/>
      <c r="FV326" s="20"/>
      <c r="FW326" s="20"/>
      <c r="FX326" s="20"/>
      <c r="FY326" s="20"/>
      <c r="FZ326" s="20"/>
      <c r="GA326" s="20"/>
      <c r="GB326" s="20"/>
      <c r="GC326" s="20"/>
      <c r="GD326" s="20"/>
      <c r="GE326" s="20"/>
      <c r="GF326" s="20"/>
      <c r="GG326" s="20"/>
      <c r="GH326" s="20"/>
      <c r="GI326" s="20"/>
      <c r="GJ326" s="20"/>
      <c r="GK326" s="20"/>
      <c r="GL326" s="20"/>
      <c r="GM326" s="20"/>
      <c r="GN326" s="20"/>
      <c r="GO326" s="20"/>
      <c r="GP326" s="20"/>
      <c r="GQ326" s="20"/>
      <c r="GR326" s="20"/>
      <c r="GS326" s="20"/>
      <c r="GT326" s="21"/>
      <c r="GU326" s="21"/>
      <c r="GV326" s="21"/>
      <c r="GW326" s="21"/>
      <c r="GX326" s="21"/>
      <c r="GY326" s="21"/>
      <c r="GZ326" s="21"/>
      <c r="HA326" s="21"/>
      <c r="HB326" s="21"/>
      <c r="HC326" s="21"/>
      <c r="HD326" s="21"/>
      <c r="HE326" s="21"/>
      <c r="HF326" s="21"/>
      <c r="HG326" s="21"/>
      <c r="HH326" s="21"/>
      <c r="HI326" s="21"/>
      <c r="HJ326" s="21"/>
      <c r="HK326" s="21"/>
      <c r="HL326" s="21"/>
      <c r="HM326" s="21"/>
      <c r="HN326" s="21"/>
      <c r="HO326" s="21"/>
      <c r="HP326" s="21"/>
      <c r="HQ326" s="21"/>
      <c r="HR326" s="21"/>
      <c r="HS326" s="21"/>
      <c r="HT326" s="21"/>
      <c r="HU326" s="21"/>
      <c r="HV326" s="21"/>
      <c r="HW326" s="21"/>
      <c r="HX326" s="21"/>
      <c r="HY326" s="21"/>
      <c r="HZ326" s="21"/>
      <c r="IA326" s="21"/>
      <c r="IB326" s="21"/>
      <c r="IC326" s="21"/>
      <c r="ID326" s="21"/>
      <c r="IE326" s="21"/>
      <c r="IF326" s="21"/>
      <c r="IG326" s="21"/>
      <c r="IH326" s="21"/>
      <c r="II326" s="21"/>
      <c r="IJ326" s="21"/>
      <c r="IK326" s="21"/>
      <c r="IL326" s="21"/>
      <c r="IM326" s="21"/>
      <c r="IN326" s="21"/>
      <c r="IO326" s="21"/>
      <c r="IP326" s="21"/>
      <c r="IQ326" s="21"/>
      <c r="IR326" s="21"/>
      <c r="IS326" s="21"/>
      <c r="IT326" s="21"/>
    </row>
    <row r="327" spans="1:254" s="3" customFormat="1" ht="27" customHeight="1">
      <c r="A327" s="11">
        <v>325</v>
      </c>
      <c r="B327" s="13" t="str">
        <f>"黄能"</f>
        <v>黄能</v>
      </c>
      <c r="C327" s="13" t="s">
        <v>21</v>
      </c>
      <c r="D327" s="13" t="str">
        <f>"230702201920"</f>
        <v>230702201920</v>
      </c>
      <c r="E327" s="18">
        <v>59.25</v>
      </c>
      <c r="F327" s="19" t="s">
        <v>10</v>
      </c>
      <c r="G327" s="19" t="s">
        <v>10</v>
      </c>
      <c r="H327" s="18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  <c r="DV327" s="20"/>
      <c r="DW327" s="20"/>
      <c r="DX327" s="20"/>
      <c r="DY327" s="20"/>
      <c r="DZ327" s="20"/>
      <c r="EA327" s="20"/>
      <c r="EB327" s="20"/>
      <c r="EC327" s="20"/>
      <c r="ED327" s="20"/>
      <c r="EE327" s="20"/>
      <c r="EF327" s="20"/>
      <c r="EG327" s="20"/>
      <c r="EH327" s="20"/>
      <c r="EI327" s="20"/>
      <c r="EJ327" s="20"/>
      <c r="EK327" s="20"/>
      <c r="EL327" s="20"/>
      <c r="EM327" s="20"/>
      <c r="EN327" s="20"/>
      <c r="EO327" s="20"/>
      <c r="EP327" s="20"/>
      <c r="EQ327" s="20"/>
      <c r="ER327" s="20"/>
      <c r="ES327" s="20"/>
      <c r="ET327" s="20"/>
      <c r="EU327" s="20"/>
      <c r="EV327" s="20"/>
      <c r="EW327" s="20"/>
      <c r="EX327" s="20"/>
      <c r="EY327" s="20"/>
      <c r="EZ327" s="20"/>
      <c r="FA327" s="20"/>
      <c r="FB327" s="20"/>
      <c r="FC327" s="20"/>
      <c r="FD327" s="20"/>
      <c r="FE327" s="20"/>
      <c r="FF327" s="20"/>
      <c r="FG327" s="20"/>
      <c r="FH327" s="20"/>
      <c r="FI327" s="20"/>
      <c r="FJ327" s="20"/>
      <c r="FK327" s="20"/>
      <c r="FL327" s="20"/>
      <c r="FM327" s="20"/>
      <c r="FN327" s="20"/>
      <c r="FO327" s="20"/>
      <c r="FP327" s="20"/>
      <c r="FQ327" s="20"/>
      <c r="FR327" s="20"/>
      <c r="FS327" s="20"/>
      <c r="FT327" s="20"/>
      <c r="FU327" s="20"/>
      <c r="FV327" s="20"/>
      <c r="FW327" s="20"/>
      <c r="FX327" s="20"/>
      <c r="FY327" s="20"/>
      <c r="FZ327" s="20"/>
      <c r="GA327" s="20"/>
      <c r="GB327" s="20"/>
      <c r="GC327" s="20"/>
      <c r="GD327" s="20"/>
      <c r="GE327" s="20"/>
      <c r="GF327" s="20"/>
      <c r="GG327" s="20"/>
      <c r="GH327" s="20"/>
      <c r="GI327" s="20"/>
      <c r="GJ327" s="20"/>
      <c r="GK327" s="20"/>
      <c r="GL327" s="20"/>
      <c r="GM327" s="20"/>
      <c r="GN327" s="20"/>
      <c r="GO327" s="20"/>
      <c r="GP327" s="20"/>
      <c r="GQ327" s="20"/>
      <c r="GR327" s="20"/>
      <c r="GS327" s="20"/>
      <c r="GT327" s="21"/>
      <c r="GU327" s="21"/>
      <c r="GV327" s="21"/>
      <c r="GW327" s="21"/>
      <c r="GX327" s="21"/>
      <c r="GY327" s="21"/>
      <c r="GZ327" s="21"/>
      <c r="HA327" s="21"/>
      <c r="HB327" s="21"/>
      <c r="HC327" s="21"/>
      <c r="HD327" s="21"/>
      <c r="HE327" s="21"/>
      <c r="HF327" s="21"/>
      <c r="HG327" s="21"/>
      <c r="HH327" s="21"/>
      <c r="HI327" s="21"/>
      <c r="HJ327" s="21"/>
      <c r="HK327" s="21"/>
      <c r="HL327" s="21"/>
      <c r="HM327" s="21"/>
      <c r="HN327" s="21"/>
      <c r="HO327" s="21"/>
      <c r="HP327" s="21"/>
      <c r="HQ327" s="21"/>
      <c r="HR327" s="21"/>
      <c r="HS327" s="21"/>
      <c r="HT327" s="21"/>
      <c r="HU327" s="21"/>
      <c r="HV327" s="21"/>
      <c r="HW327" s="21"/>
      <c r="HX327" s="21"/>
      <c r="HY327" s="21"/>
      <c r="HZ327" s="21"/>
      <c r="IA327" s="21"/>
      <c r="IB327" s="21"/>
      <c r="IC327" s="21"/>
      <c r="ID327" s="21"/>
      <c r="IE327" s="21"/>
      <c r="IF327" s="21"/>
      <c r="IG327" s="21"/>
      <c r="IH327" s="21"/>
      <c r="II327" s="21"/>
      <c r="IJ327" s="21"/>
      <c r="IK327" s="21"/>
      <c r="IL327" s="21"/>
      <c r="IM327" s="21"/>
      <c r="IN327" s="21"/>
      <c r="IO327" s="21"/>
      <c r="IP327" s="21"/>
      <c r="IQ327" s="21"/>
      <c r="IR327" s="21"/>
      <c r="IS327" s="21"/>
      <c r="IT327" s="21"/>
    </row>
    <row r="328" spans="1:254" s="3" customFormat="1" ht="27" customHeight="1">
      <c r="A328" s="11">
        <v>326</v>
      </c>
      <c r="B328" s="13" t="str">
        <f>"佐睿智"</f>
        <v>佐睿智</v>
      </c>
      <c r="C328" s="13" t="s">
        <v>21</v>
      </c>
      <c r="D328" s="13" t="str">
        <f>"230702202829"</f>
        <v>230702202829</v>
      </c>
      <c r="E328" s="18">
        <v>59.185</v>
      </c>
      <c r="F328" s="19" t="s">
        <v>10</v>
      </c>
      <c r="G328" s="19" t="s">
        <v>10</v>
      </c>
      <c r="H328" s="18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0"/>
      <c r="CP328" s="20"/>
      <c r="CQ328" s="20"/>
      <c r="CR328" s="20"/>
      <c r="CS328" s="20"/>
      <c r="CT328" s="20"/>
      <c r="CU328" s="20"/>
      <c r="CV328" s="20"/>
      <c r="CW328" s="20"/>
      <c r="CX328" s="20"/>
      <c r="CY328" s="20"/>
      <c r="CZ328" s="20"/>
      <c r="DA328" s="20"/>
      <c r="DB328" s="20"/>
      <c r="DC328" s="20"/>
      <c r="DD328" s="20"/>
      <c r="DE328" s="20"/>
      <c r="DF328" s="20"/>
      <c r="DG328" s="20"/>
      <c r="DH328" s="20"/>
      <c r="DI328" s="20"/>
      <c r="DJ328" s="20"/>
      <c r="DK328" s="20"/>
      <c r="DL328" s="20"/>
      <c r="DM328" s="20"/>
      <c r="DN328" s="20"/>
      <c r="DO328" s="20"/>
      <c r="DP328" s="20"/>
      <c r="DQ328" s="20"/>
      <c r="DR328" s="20"/>
      <c r="DS328" s="20"/>
      <c r="DT328" s="20"/>
      <c r="DU328" s="20"/>
      <c r="DV328" s="20"/>
      <c r="DW328" s="20"/>
      <c r="DX328" s="20"/>
      <c r="DY328" s="20"/>
      <c r="DZ328" s="20"/>
      <c r="EA328" s="20"/>
      <c r="EB328" s="20"/>
      <c r="EC328" s="20"/>
      <c r="ED328" s="20"/>
      <c r="EE328" s="20"/>
      <c r="EF328" s="20"/>
      <c r="EG328" s="20"/>
      <c r="EH328" s="20"/>
      <c r="EI328" s="20"/>
      <c r="EJ328" s="20"/>
      <c r="EK328" s="20"/>
      <c r="EL328" s="20"/>
      <c r="EM328" s="20"/>
      <c r="EN328" s="20"/>
      <c r="EO328" s="20"/>
      <c r="EP328" s="20"/>
      <c r="EQ328" s="20"/>
      <c r="ER328" s="20"/>
      <c r="ES328" s="20"/>
      <c r="ET328" s="20"/>
      <c r="EU328" s="20"/>
      <c r="EV328" s="20"/>
      <c r="EW328" s="20"/>
      <c r="EX328" s="20"/>
      <c r="EY328" s="20"/>
      <c r="EZ328" s="20"/>
      <c r="FA328" s="20"/>
      <c r="FB328" s="20"/>
      <c r="FC328" s="20"/>
      <c r="FD328" s="20"/>
      <c r="FE328" s="20"/>
      <c r="FF328" s="20"/>
      <c r="FG328" s="20"/>
      <c r="FH328" s="20"/>
      <c r="FI328" s="20"/>
      <c r="FJ328" s="20"/>
      <c r="FK328" s="20"/>
      <c r="FL328" s="20"/>
      <c r="FM328" s="20"/>
      <c r="FN328" s="20"/>
      <c r="FO328" s="20"/>
      <c r="FP328" s="20"/>
      <c r="FQ328" s="20"/>
      <c r="FR328" s="20"/>
      <c r="FS328" s="20"/>
      <c r="FT328" s="20"/>
      <c r="FU328" s="20"/>
      <c r="FV328" s="20"/>
      <c r="FW328" s="20"/>
      <c r="FX328" s="20"/>
      <c r="FY328" s="20"/>
      <c r="FZ328" s="20"/>
      <c r="GA328" s="20"/>
      <c r="GB328" s="20"/>
      <c r="GC328" s="20"/>
      <c r="GD328" s="20"/>
      <c r="GE328" s="20"/>
      <c r="GF328" s="20"/>
      <c r="GG328" s="20"/>
      <c r="GH328" s="20"/>
      <c r="GI328" s="20"/>
      <c r="GJ328" s="20"/>
      <c r="GK328" s="20"/>
      <c r="GL328" s="20"/>
      <c r="GM328" s="20"/>
      <c r="GN328" s="20"/>
      <c r="GO328" s="20"/>
      <c r="GP328" s="20"/>
      <c r="GQ328" s="20"/>
      <c r="GR328" s="20"/>
      <c r="GS328" s="20"/>
      <c r="GT328" s="21"/>
      <c r="GU328" s="21"/>
      <c r="GV328" s="21"/>
      <c r="GW328" s="21"/>
      <c r="GX328" s="21"/>
      <c r="GY328" s="21"/>
      <c r="GZ328" s="21"/>
      <c r="HA328" s="21"/>
      <c r="HB328" s="21"/>
      <c r="HC328" s="21"/>
      <c r="HD328" s="21"/>
      <c r="HE328" s="21"/>
      <c r="HF328" s="21"/>
      <c r="HG328" s="21"/>
      <c r="HH328" s="21"/>
      <c r="HI328" s="21"/>
      <c r="HJ328" s="21"/>
      <c r="HK328" s="21"/>
      <c r="HL328" s="21"/>
      <c r="HM328" s="21"/>
      <c r="HN328" s="21"/>
      <c r="HO328" s="21"/>
      <c r="HP328" s="21"/>
      <c r="HQ328" s="21"/>
      <c r="HR328" s="21"/>
      <c r="HS328" s="21"/>
      <c r="HT328" s="21"/>
      <c r="HU328" s="21"/>
      <c r="HV328" s="21"/>
      <c r="HW328" s="21"/>
      <c r="HX328" s="21"/>
      <c r="HY328" s="21"/>
      <c r="HZ328" s="21"/>
      <c r="IA328" s="21"/>
      <c r="IB328" s="21"/>
      <c r="IC328" s="21"/>
      <c r="ID328" s="21"/>
      <c r="IE328" s="21"/>
      <c r="IF328" s="21"/>
      <c r="IG328" s="21"/>
      <c r="IH328" s="21"/>
      <c r="II328" s="21"/>
      <c r="IJ328" s="21"/>
      <c r="IK328" s="21"/>
      <c r="IL328" s="21"/>
      <c r="IM328" s="21"/>
      <c r="IN328" s="21"/>
      <c r="IO328" s="21"/>
      <c r="IP328" s="21"/>
      <c r="IQ328" s="21"/>
      <c r="IR328" s="21"/>
      <c r="IS328" s="21"/>
      <c r="IT328" s="21"/>
    </row>
    <row r="329" spans="1:254" s="2" customFormat="1" ht="24.75" customHeight="1">
      <c r="A329" s="11">
        <v>327</v>
      </c>
      <c r="B329" s="12" t="str">
        <f>"胡茂兴"</f>
        <v>胡茂兴</v>
      </c>
      <c r="C329" s="13" t="s">
        <v>22</v>
      </c>
      <c r="D329" s="13" t="str">
        <f>"230702202924"</f>
        <v>230702202924</v>
      </c>
      <c r="E329" s="18">
        <v>65.815</v>
      </c>
      <c r="F329" s="19" t="s">
        <v>10</v>
      </c>
      <c r="G329" s="19" t="s">
        <v>10</v>
      </c>
      <c r="H329" s="11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  <c r="CQ329" s="20"/>
      <c r="CR329" s="20"/>
      <c r="CS329" s="20"/>
      <c r="CT329" s="20"/>
      <c r="CU329" s="20"/>
      <c r="CV329" s="20"/>
      <c r="CW329" s="20"/>
      <c r="CX329" s="20"/>
      <c r="CY329" s="20"/>
      <c r="CZ329" s="20"/>
      <c r="DA329" s="20"/>
      <c r="DB329" s="20"/>
      <c r="DC329" s="20"/>
      <c r="DD329" s="20"/>
      <c r="DE329" s="20"/>
      <c r="DF329" s="20"/>
      <c r="DG329" s="20"/>
      <c r="DH329" s="20"/>
      <c r="DI329" s="20"/>
      <c r="DJ329" s="20"/>
      <c r="DK329" s="20"/>
      <c r="DL329" s="20"/>
      <c r="DM329" s="20"/>
      <c r="DN329" s="20"/>
      <c r="DO329" s="20"/>
      <c r="DP329" s="20"/>
      <c r="DQ329" s="20"/>
      <c r="DR329" s="20"/>
      <c r="DS329" s="20"/>
      <c r="DT329" s="20"/>
      <c r="DU329" s="20"/>
      <c r="DV329" s="20"/>
      <c r="DW329" s="20"/>
      <c r="DX329" s="20"/>
      <c r="DY329" s="20"/>
      <c r="DZ329" s="20"/>
      <c r="EA329" s="20"/>
      <c r="EB329" s="20"/>
      <c r="EC329" s="20"/>
      <c r="ED329" s="20"/>
      <c r="EE329" s="20"/>
      <c r="EF329" s="20"/>
      <c r="EG329" s="20"/>
      <c r="EH329" s="20"/>
      <c r="EI329" s="20"/>
      <c r="EJ329" s="20"/>
      <c r="EK329" s="20"/>
      <c r="EL329" s="20"/>
      <c r="EM329" s="20"/>
      <c r="EN329" s="20"/>
      <c r="EO329" s="20"/>
      <c r="EP329" s="20"/>
      <c r="EQ329" s="20"/>
      <c r="ER329" s="20"/>
      <c r="ES329" s="20"/>
      <c r="ET329" s="20"/>
      <c r="EU329" s="20"/>
      <c r="EV329" s="20"/>
      <c r="EW329" s="20"/>
      <c r="EX329" s="20"/>
      <c r="EY329" s="20"/>
      <c r="EZ329" s="20"/>
      <c r="FA329" s="20"/>
      <c r="FB329" s="20"/>
      <c r="FC329" s="20"/>
      <c r="FD329" s="20"/>
      <c r="FE329" s="20"/>
      <c r="FF329" s="20"/>
      <c r="FG329" s="20"/>
      <c r="FH329" s="20"/>
      <c r="FI329" s="20"/>
      <c r="FJ329" s="20"/>
      <c r="FK329" s="20"/>
      <c r="FL329" s="20"/>
      <c r="FM329" s="20"/>
      <c r="FN329" s="20"/>
      <c r="FO329" s="20"/>
      <c r="FP329" s="20"/>
      <c r="FQ329" s="20"/>
      <c r="FR329" s="20"/>
      <c r="FS329" s="20"/>
      <c r="FT329" s="20"/>
      <c r="FU329" s="20"/>
      <c r="FV329" s="20"/>
      <c r="FW329" s="20"/>
      <c r="FX329" s="20"/>
      <c r="FY329" s="20"/>
      <c r="FZ329" s="20"/>
      <c r="GA329" s="20"/>
      <c r="GB329" s="20"/>
      <c r="GC329" s="20"/>
      <c r="GD329" s="20"/>
      <c r="GE329" s="20"/>
      <c r="GF329" s="20"/>
      <c r="GG329" s="20"/>
      <c r="GH329" s="20"/>
      <c r="GI329" s="20"/>
      <c r="GJ329" s="20"/>
      <c r="GK329" s="20"/>
      <c r="GL329" s="20"/>
      <c r="GM329" s="20"/>
      <c r="GN329" s="20"/>
      <c r="GO329" s="20"/>
      <c r="GP329" s="20"/>
      <c r="GQ329" s="20"/>
      <c r="GR329" s="21"/>
      <c r="GS329" s="21"/>
      <c r="GT329" s="21"/>
      <c r="GU329" s="21"/>
      <c r="GV329" s="21"/>
      <c r="GW329" s="21"/>
      <c r="GX329" s="21"/>
      <c r="GY329" s="21"/>
      <c r="GZ329" s="21"/>
      <c r="HA329" s="21"/>
      <c r="HB329" s="21"/>
      <c r="HC329" s="21"/>
      <c r="HD329" s="21"/>
      <c r="HE329" s="21"/>
      <c r="HF329" s="21"/>
      <c r="HG329" s="21"/>
      <c r="HH329" s="21"/>
      <c r="HI329" s="21"/>
      <c r="HJ329" s="21"/>
      <c r="HK329" s="21"/>
      <c r="HL329" s="21"/>
      <c r="HM329" s="21"/>
      <c r="HN329" s="21"/>
      <c r="HO329" s="21"/>
      <c r="HP329" s="21"/>
      <c r="HQ329" s="21"/>
      <c r="HR329" s="21"/>
      <c r="HS329" s="21"/>
      <c r="HT329" s="21"/>
      <c r="HU329" s="21"/>
      <c r="HV329" s="21"/>
      <c r="HW329" s="21"/>
      <c r="HX329" s="21"/>
      <c r="HY329" s="21"/>
      <c r="HZ329" s="21"/>
      <c r="IA329" s="21"/>
      <c r="IB329" s="21"/>
      <c r="IC329" s="21"/>
      <c r="ID329" s="21"/>
      <c r="IE329" s="21"/>
      <c r="IF329" s="21"/>
      <c r="IG329" s="21"/>
      <c r="IH329" s="21"/>
      <c r="II329" s="21"/>
      <c r="IJ329" s="21"/>
      <c r="IK329" s="21"/>
      <c r="IL329" s="21"/>
      <c r="IM329" s="21"/>
      <c r="IN329" s="21"/>
      <c r="IO329" s="21"/>
      <c r="IP329" s="21"/>
      <c r="IQ329" s="21"/>
      <c r="IR329" s="21"/>
      <c r="IS329" s="21"/>
      <c r="IT329" s="21"/>
    </row>
    <row r="330" spans="1:254" s="2" customFormat="1" ht="24.75" customHeight="1">
      <c r="A330" s="11">
        <v>328</v>
      </c>
      <c r="B330" s="12" t="str">
        <f>"颜跃东"</f>
        <v>颜跃东</v>
      </c>
      <c r="C330" s="13" t="s">
        <v>23</v>
      </c>
      <c r="D330" s="13" t="str">
        <f>"230702203214"</f>
        <v>230702203214</v>
      </c>
      <c r="E330" s="18">
        <v>61.085</v>
      </c>
      <c r="F330" s="19" t="s">
        <v>10</v>
      </c>
      <c r="G330" s="19" t="s">
        <v>10</v>
      </c>
      <c r="H330" s="11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  <c r="CQ330" s="20"/>
      <c r="CR330" s="20"/>
      <c r="CS330" s="20"/>
      <c r="CT330" s="20"/>
      <c r="CU330" s="20"/>
      <c r="CV330" s="20"/>
      <c r="CW330" s="20"/>
      <c r="CX330" s="20"/>
      <c r="CY330" s="20"/>
      <c r="CZ330" s="20"/>
      <c r="DA330" s="20"/>
      <c r="DB330" s="20"/>
      <c r="DC330" s="20"/>
      <c r="DD330" s="20"/>
      <c r="DE330" s="20"/>
      <c r="DF330" s="20"/>
      <c r="DG330" s="20"/>
      <c r="DH330" s="20"/>
      <c r="DI330" s="20"/>
      <c r="DJ330" s="20"/>
      <c r="DK330" s="20"/>
      <c r="DL330" s="20"/>
      <c r="DM330" s="20"/>
      <c r="DN330" s="20"/>
      <c r="DO330" s="20"/>
      <c r="DP330" s="20"/>
      <c r="DQ330" s="20"/>
      <c r="DR330" s="20"/>
      <c r="DS330" s="20"/>
      <c r="DT330" s="20"/>
      <c r="DU330" s="20"/>
      <c r="DV330" s="20"/>
      <c r="DW330" s="20"/>
      <c r="DX330" s="20"/>
      <c r="DY330" s="20"/>
      <c r="DZ330" s="20"/>
      <c r="EA330" s="20"/>
      <c r="EB330" s="20"/>
      <c r="EC330" s="20"/>
      <c r="ED330" s="20"/>
      <c r="EE330" s="20"/>
      <c r="EF330" s="20"/>
      <c r="EG330" s="20"/>
      <c r="EH330" s="20"/>
      <c r="EI330" s="20"/>
      <c r="EJ330" s="20"/>
      <c r="EK330" s="20"/>
      <c r="EL330" s="20"/>
      <c r="EM330" s="20"/>
      <c r="EN330" s="20"/>
      <c r="EO330" s="20"/>
      <c r="EP330" s="20"/>
      <c r="EQ330" s="20"/>
      <c r="ER330" s="20"/>
      <c r="ES330" s="20"/>
      <c r="ET330" s="20"/>
      <c r="EU330" s="20"/>
      <c r="EV330" s="20"/>
      <c r="EW330" s="20"/>
      <c r="EX330" s="20"/>
      <c r="EY330" s="20"/>
      <c r="EZ330" s="20"/>
      <c r="FA330" s="20"/>
      <c r="FB330" s="20"/>
      <c r="FC330" s="20"/>
      <c r="FD330" s="20"/>
      <c r="FE330" s="20"/>
      <c r="FF330" s="20"/>
      <c r="FG330" s="20"/>
      <c r="FH330" s="20"/>
      <c r="FI330" s="20"/>
      <c r="FJ330" s="20"/>
      <c r="FK330" s="20"/>
      <c r="FL330" s="20"/>
      <c r="FM330" s="20"/>
      <c r="FN330" s="20"/>
      <c r="FO330" s="20"/>
      <c r="FP330" s="20"/>
      <c r="FQ330" s="20"/>
      <c r="FR330" s="20"/>
      <c r="FS330" s="20"/>
      <c r="FT330" s="20"/>
      <c r="FU330" s="20"/>
      <c r="FV330" s="20"/>
      <c r="FW330" s="20"/>
      <c r="FX330" s="20"/>
      <c r="FY330" s="20"/>
      <c r="FZ330" s="20"/>
      <c r="GA330" s="20"/>
      <c r="GB330" s="20"/>
      <c r="GC330" s="20"/>
      <c r="GD330" s="20"/>
      <c r="GE330" s="20"/>
      <c r="GF330" s="20"/>
      <c r="GG330" s="20"/>
      <c r="GH330" s="20"/>
      <c r="GI330" s="20"/>
      <c r="GJ330" s="20"/>
      <c r="GK330" s="20"/>
      <c r="GL330" s="20"/>
      <c r="GM330" s="20"/>
      <c r="GN330" s="20"/>
      <c r="GO330" s="20"/>
      <c r="GP330" s="20"/>
      <c r="GQ330" s="20"/>
      <c r="GR330" s="21"/>
      <c r="GS330" s="21"/>
      <c r="GT330" s="21"/>
      <c r="GU330" s="21"/>
      <c r="GV330" s="21"/>
      <c r="GW330" s="21"/>
      <c r="GX330" s="21"/>
      <c r="GY330" s="21"/>
      <c r="GZ330" s="21"/>
      <c r="HA330" s="21"/>
      <c r="HB330" s="21"/>
      <c r="HC330" s="21"/>
      <c r="HD330" s="21"/>
      <c r="HE330" s="21"/>
      <c r="HF330" s="21"/>
      <c r="HG330" s="21"/>
      <c r="HH330" s="21"/>
      <c r="HI330" s="21"/>
      <c r="HJ330" s="21"/>
      <c r="HK330" s="21"/>
      <c r="HL330" s="21"/>
      <c r="HM330" s="21"/>
      <c r="HN330" s="21"/>
      <c r="HO330" s="21"/>
      <c r="HP330" s="21"/>
      <c r="HQ330" s="21"/>
      <c r="HR330" s="21"/>
      <c r="HS330" s="21"/>
      <c r="HT330" s="21"/>
      <c r="HU330" s="21"/>
      <c r="HV330" s="21"/>
      <c r="HW330" s="21"/>
      <c r="HX330" s="21"/>
      <c r="HY330" s="21"/>
      <c r="HZ330" s="21"/>
      <c r="IA330" s="21"/>
      <c r="IB330" s="21"/>
      <c r="IC330" s="21"/>
      <c r="ID330" s="21"/>
      <c r="IE330" s="21"/>
      <c r="IF330" s="21"/>
      <c r="IG330" s="21"/>
      <c r="IH330" s="21"/>
      <c r="II330" s="21"/>
      <c r="IJ330" s="21"/>
      <c r="IK330" s="21"/>
      <c r="IL330" s="21"/>
      <c r="IM330" s="21"/>
      <c r="IN330" s="21"/>
      <c r="IO330" s="21"/>
      <c r="IP330" s="21"/>
      <c r="IQ330" s="21"/>
      <c r="IR330" s="21"/>
      <c r="IS330" s="21"/>
      <c r="IT330" s="21"/>
    </row>
    <row r="331" spans="1:254" s="2" customFormat="1" ht="24.75" customHeight="1">
      <c r="A331" s="11">
        <v>329</v>
      </c>
      <c r="B331" s="12" t="str">
        <f>"李永通"</f>
        <v>李永通</v>
      </c>
      <c r="C331" s="13" t="s">
        <v>23</v>
      </c>
      <c r="D331" s="13" t="str">
        <f>"230702203120"</f>
        <v>230702203120</v>
      </c>
      <c r="E331" s="18">
        <v>59.935</v>
      </c>
      <c r="F331" s="19" t="s">
        <v>10</v>
      </c>
      <c r="G331" s="19" t="s">
        <v>10</v>
      </c>
      <c r="H331" s="11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  <c r="CQ331" s="20"/>
      <c r="CR331" s="20"/>
      <c r="CS331" s="20"/>
      <c r="CT331" s="20"/>
      <c r="CU331" s="20"/>
      <c r="CV331" s="20"/>
      <c r="CW331" s="20"/>
      <c r="CX331" s="20"/>
      <c r="CY331" s="20"/>
      <c r="CZ331" s="20"/>
      <c r="DA331" s="20"/>
      <c r="DB331" s="20"/>
      <c r="DC331" s="20"/>
      <c r="DD331" s="20"/>
      <c r="DE331" s="20"/>
      <c r="DF331" s="20"/>
      <c r="DG331" s="20"/>
      <c r="DH331" s="20"/>
      <c r="DI331" s="20"/>
      <c r="DJ331" s="20"/>
      <c r="DK331" s="20"/>
      <c r="DL331" s="20"/>
      <c r="DM331" s="20"/>
      <c r="DN331" s="20"/>
      <c r="DO331" s="20"/>
      <c r="DP331" s="20"/>
      <c r="DQ331" s="20"/>
      <c r="DR331" s="20"/>
      <c r="DS331" s="20"/>
      <c r="DT331" s="20"/>
      <c r="DU331" s="20"/>
      <c r="DV331" s="20"/>
      <c r="DW331" s="20"/>
      <c r="DX331" s="20"/>
      <c r="DY331" s="20"/>
      <c r="DZ331" s="20"/>
      <c r="EA331" s="20"/>
      <c r="EB331" s="20"/>
      <c r="EC331" s="20"/>
      <c r="ED331" s="20"/>
      <c r="EE331" s="20"/>
      <c r="EF331" s="20"/>
      <c r="EG331" s="20"/>
      <c r="EH331" s="20"/>
      <c r="EI331" s="20"/>
      <c r="EJ331" s="20"/>
      <c r="EK331" s="20"/>
      <c r="EL331" s="20"/>
      <c r="EM331" s="20"/>
      <c r="EN331" s="20"/>
      <c r="EO331" s="20"/>
      <c r="EP331" s="20"/>
      <c r="EQ331" s="20"/>
      <c r="ER331" s="20"/>
      <c r="ES331" s="20"/>
      <c r="ET331" s="20"/>
      <c r="EU331" s="20"/>
      <c r="EV331" s="20"/>
      <c r="EW331" s="20"/>
      <c r="EX331" s="20"/>
      <c r="EY331" s="20"/>
      <c r="EZ331" s="20"/>
      <c r="FA331" s="20"/>
      <c r="FB331" s="20"/>
      <c r="FC331" s="20"/>
      <c r="FD331" s="20"/>
      <c r="FE331" s="20"/>
      <c r="FF331" s="20"/>
      <c r="FG331" s="20"/>
      <c r="FH331" s="20"/>
      <c r="FI331" s="20"/>
      <c r="FJ331" s="20"/>
      <c r="FK331" s="20"/>
      <c r="FL331" s="20"/>
      <c r="FM331" s="20"/>
      <c r="FN331" s="20"/>
      <c r="FO331" s="20"/>
      <c r="FP331" s="20"/>
      <c r="FQ331" s="20"/>
      <c r="FR331" s="20"/>
      <c r="FS331" s="20"/>
      <c r="FT331" s="20"/>
      <c r="FU331" s="20"/>
      <c r="FV331" s="20"/>
      <c r="FW331" s="20"/>
      <c r="FX331" s="20"/>
      <c r="FY331" s="20"/>
      <c r="FZ331" s="20"/>
      <c r="GA331" s="20"/>
      <c r="GB331" s="20"/>
      <c r="GC331" s="20"/>
      <c r="GD331" s="20"/>
      <c r="GE331" s="20"/>
      <c r="GF331" s="20"/>
      <c r="GG331" s="20"/>
      <c r="GH331" s="20"/>
      <c r="GI331" s="20"/>
      <c r="GJ331" s="20"/>
      <c r="GK331" s="20"/>
      <c r="GL331" s="20"/>
      <c r="GM331" s="20"/>
      <c r="GN331" s="20"/>
      <c r="GO331" s="20"/>
      <c r="GP331" s="20"/>
      <c r="GQ331" s="20"/>
      <c r="GR331" s="21"/>
      <c r="GS331" s="21"/>
      <c r="GT331" s="21"/>
      <c r="GU331" s="21"/>
      <c r="GV331" s="21"/>
      <c r="GW331" s="21"/>
      <c r="GX331" s="21"/>
      <c r="GY331" s="21"/>
      <c r="GZ331" s="21"/>
      <c r="HA331" s="21"/>
      <c r="HB331" s="21"/>
      <c r="HC331" s="21"/>
      <c r="HD331" s="21"/>
      <c r="HE331" s="21"/>
      <c r="HF331" s="21"/>
      <c r="HG331" s="21"/>
      <c r="HH331" s="21"/>
      <c r="HI331" s="21"/>
      <c r="HJ331" s="21"/>
      <c r="HK331" s="21"/>
      <c r="HL331" s="21"/>
      <c r="HM331" s="21"/>
      <c r="HN331" s="21"/>
      <c r="HO331" s="21"/>
      <c r="HP331" s="21"/>
      <c r="HQ331" s="21"/>
      <c r="HR331" s="21"/>
      <c r="HS331" s="21"/>
      <c r="HT331" s="21"/>
      <c r="HU331" s="21"/>
      <c r="HV331" s="21"/>
      <c r="HW331" s="21"/>
      <c r="HX331" s="21"/>
      <c r="HY331" s="21"/>
      <c r="HZ331" s="21"/>
      <c r="IA331" s="21"/>
      <c r="IB331" s="21"/>
      <c r="IC331" s="21"/>
      <c r="ID331" s="21"/>
      <c r="IE331" s="21"/>
      <c r="IF331" s="21"/>
      <c r="IG331" s="21"/>
      <c r="IH331" s="21"/>
      <c r="II331" s="21"/>
      <c r="IJ331" s="21"/>
      <c r="IK331" s="21"/>
      <c r="IL331" s="21"/>
      <c r="IM331" s="21"/>
      <c r="IN331" s="21"/>
      <c r="IO331" s="21"/>
      <c r="IP331" s="21"/>
      <c r="IQ331" s="21"/>
      <c r="IR331" s="21"/>
      <c r="IS331" s="21"/>
      <c r="IT331" s="21"/>
    </row>
    <row r="332" spans="1:254" s="3" customFormat="1" ht="27" customHeight="1">
      <c r="A332" s="11">
        <v>330</v>
      </c>
      <c r="B332" s="13" t="str">
        <f>"许朝学"</f>
        <v>许朝学</v>
      </c>
      <c r="C332" s="13" t="s">
        <v>24</v>
      </c>
      <c r="D332" s="13" t="str">
        <f>"230702204202"</f>
        <v>230702204202</v>
      </c>
      <c r="E332" s="18">
        <v>68.88499999999999</v>
      </c>
      <c r="F332" s="19" t="s">
        <v>10</v>
      </c>
      <c r="G332" s="19" t="s">
        <v>10</v>
      </c>
      <c r="H332" s="18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  <c r="CQ332" s="20"/>
      <c r="CR332" s="20"/>
      <c r="CS332" s="20"/>
      <c r="CT332" s="20"/>
      <c r="CU332" s="20"/>
      <c r="CV332" s="20"/>
      <c r="CW332" s="20"/>
      <c r="CX332" s="20"/>
      <c r="CY332" s="20"/>
      <c r="CZ332" s="20"/>
      <c r="DA332" s="20"/>
      <c r="DB332" s="20"/>
      <c r="DC332" s="20"/>
      <c r="DD332" s="20"/>
      <c r="DE332" s="20"/>
      <c r="DF332" s="20"/>
      <c r="DG332" s="20"/>
      <c r="DH332" s="20"/>
      <c r="DI332" s="20"/>
      <c r="DJ332" s="20"/>
      <c r="DK332" s="20"/>
      <c r="DL332" s="20"/>
      <c r="DM332" s="20"/>
      <c r="DN332" s="20"/>
      <c r="DO332" s="20"/>
      <c r="DP332" s="20"/>
      <c r="DQ332" s="20"/>
      <c r="DR332" s="20"/>
      <c r="DS332" s="20"/>
      <c r="DT332" s="20"/>
      <c r="DU332" s="20"/>
      <c r="DV332" s="20"/>
      <c r="DW332" s="20"/>
      <c r="DX332" s="20"/>
      <c r="DY332" s="20"/>
      <c r="DZ332" s="20"/>
      <c r="EA332" s="20"/>
      <c r="EB332" s="20"/>
      <c r="EC332" s="20"/>
      <c r="ED332" s="20"/>
      <c r="EE332" s="20"/>
      <c r="EF332" s="20"/>
      <c r="EG332" s="20"/>
      <c r="EH332" s="20"/>
      <c r="EI332" s="20"/>
      <c r="EJ332" s="20"/>
      <c r="EK332" s="20"/>
      <c r="EL332" s="20"/>
      <c r="EM332" s="20"/>
      <c r="EN332" s="20"/>
      <c r="EO332" s="20"/>
      <c r="EP332" s="20"/>
      <c r="EQ332" s="20"/>
      <c r="ER332" s="20"/>
      <c r="ES332" s="20"/>
      <c r="ET332" s="20"/>
      <c r="EU332" s="20"/>
      <c r="EV332" s="20"/>
      <c r="EW332" s="20"/>
      <c r="EX332" s="20"/>
      <c r="EY332" s="20"/>
      <c r="EZ332" s="20"/>
      <c r="FA332" s="20"/>
      <c r="FB332" s="20"/>
      <c r="FC332" s="20"/>
      <c r="FD332" s="20"/>
      <c r="FE332" s="20"/>
      <c r="FF332" s="20"/>
      <c r="FG332" s="20"/>
      <c r="FH332" s="20"/>
      <c r="FI332" s="20"/>
      <c r="FJ332" s="20"/>
      <c r="FK332" s="20"/>
      <c r="FL332" s="20"/>
      <c r="FM332" s="20"/>
      <c r="FN332" s="20"/>
      <c r="FO332" s="20"/>
      <c r="FP332" s="20"/>
      <c r="FQ332" s="20"/>
      <c r="FR332" s="20"/>
      <c r="FS332" s="20"/>
      <c r="FT332" s="20"/>
      <c r="FU332" s="20"/>
      <c r="FV332" s="20"/>
      <c r="FW332" s="20"/>
      <c r="FX332" s="20"/>
      <c r="FY332" s="20"/>
      <c r="FZ332" s="20"/>
      <c r="GA332" s="20"/>
      <c r="GB332" s="20"/>
      <c r="GC332" s="20"/>
      <c r="GD332" s="20"/>
      <c r="GE332" s="20"/>
      <c r="GF332" s="20"/>
      <c r="GG332" s="20"/>
      <c r="GH332" s="20"/>
      <c r="GI332" s="20"/>
      <c r="GJ332" s="20"/>
      <c r="GK332" s="20"/>
      <c r="GL332" s="20"/>
      <c r="GM332" s="20"/>
      <c r="GN332" s="20"/>
      <c r="GO332" s="20"/>
      <c r="GP332" s="20"/>
      <c r="GQ332" s="20"/>
      <c r="GR332" s="20"/>
      <c r="GS332" s="20"/>
      <c r="GT332" s="21"/>
      <c r="GU332" s="21"/>
      <c r="GV332" s="21"/>
      <c r="GW332" s="21"/>
      <c r="GX332" s="21"/>
      <c r="GY332" s="21"/>
      <c r="GZ332" s="21"/>
      <c r="HA332" s="21"/>
      <c r="HB332" s="21"/>
      <c r="HC332" s="21"/>
      <c r="HD332" s="21"/>
      <c r="HE332" s="21"/>
      <c r="HF332" s="21"/>
      <c r="HG332" s="21"/>
      <c r="HH332" s="21"/>
      <c r="HI332" s="21"/>
      <c r="HJ332" s="21"/>
      <c r="HK332" s="21"/>
      <c r="HL332" s="21"/>
      <c r="HM332" s="21"/>
      <c r="HN332" s="21"/>
      <c r="HO332" s="21"/>
      <c r="HP332" s="21"/>
      <c r="HQ332" s="21"/>
      <c r="HR332" s="21"/>
      <c r="HS332" s="21"/>
      <c r="HT332" s="21"/>
      <c r="HU332" s="21"/>
      <c r="HV332" s="21"/>
      <c r="HW332" s="21"/>
      <c r="HX332" s="21"/>
      <c r="HY332" s="21"/>
      <c r="HZ332" s="21"/>
      <c r="IA332" s="21"/>
      <c r="IB332" s="21"/>
      <c r="IC332" s="21"/>
      <c r="ID332" s="21"/>
      <c r="IE332" s="21"/>
      <c r="IF332" s="21"/>
      <c r="IG332" s="21"/>
      <c r="IH332" s="21"/>
      <c r="II332" s="21"/>
      <c r="IJ332" s="21"/>
      <c r="IK332" s="21"/>
      <c r="IL332" s="21"/>
      <c r="IM332" s="21"/>
      <c r="IN332" s="21"/>
      <c r="IO332" s="21"/>
      <c r="IP332" s="21"/>
      <c r="IQ332" s="21"/>
      <c r="IR332" s="21"/>
      <c r="IS332" s="21"/>
      <c r="IT332" s="21"/>
    </row>
    <row r="333" spans="1:254" s="3" customFormat="1" ht="27" customHeight="1">
      <c r="A333" s="11">
        <v>331</v>
      </c>
      <c r="B333" s="13" t="str">
        <f>"钟云"</f>
        <v>钟云</v>
      </c>
      <c r="C333" s="13" t="s">
        <v>24</v>
      </c>
      <c r="D333" s="13" t="str">
        <f>"230702204110"</f>
        <v>230702204110</v>
      </c>
      <c r="E333" s="18">
        <v>68.65</v>
      </c>
      <c r="F333" s="19" t="s">
        <v>10</v>
      </c>
      <c r="G333" s="19" t="s">
        <v>10</v>
      </c>
      <c r="H333" s="18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  <c r="CQ333" s="20"/>
      <c r="CR333" s="20"/>
      <c r="CS333" s="20"/>
      <c r="CT333" s="20"/>
      <c r="CU333" s="20"/>
      <c r="CV333" s="20"/>
      <c r="CW333" s="20"/>
      <c r="CX333" s="20"/>
      <c r="CY333" s="20"/>
      <c r="CZ333" s="20"/>
      <c r="DA333" s="20"/>
      <c r="DB333" s="20"/>
      <c r="DC333" s="20"/>
      <c r="DD333" s="20"/>
      <c r="DE333" s="20"/>
      <c r="DF333" s="20"/>
      <c r="DG333" s="20"/>
      <c r="DH333" s="20"/>
      <c r="DI333" s="20"/>
      <c r="DJ333" s="20"/>
      <c r="DK333" s="20"/>
      <c r="DL333" s="20"/>
      <c r="DM333" s="20"/>
      <c r="DN333" s="20"/>
      <c r="DO333" s="20"/>
      <c r="DP333" s="20"/>
      <c r="DQ333" s="20"/>
      <c r="DR333" s="20"/>
      <c r="DS333" s="20"/>
      <c r="DT333" s="20"/>
      <c r="DU333" s="20"/>
      <c r="DV333" s="20"/>
      <c r="DW333" s="20"/>
      <c r="DX333" s="20"/>
      <c r="DY333" s="20"/>
      <c r="DZ333" s="20"/>
      <c r="EA333" s="20"/>
      <c r="EB333" s="20"/>
      <c r="EC333" s="20"/>
      <c r="ED333" s="20"/>
      <c r="EE333" s="20"/>
      <c r="EF333" s="20"/>
      <c r="EG333" s="20"/>
      <c r="EH333" s="20"/>
      <c r="EI333" s="20"/>
      <c r="EJ333" s="20"/>
      <c r="EK333" s="20"/>
      <c r="EL333" s="20"/>
      <c r="EM333" s="20"/>
      <c r="EN333" s="20"/>
      <c r="EO333" s="20"/>
      <c r="EP333" s="20"/>
      <c r="EQ333" s="20"/>
      <c r="ER333" s="20"/>
      <c r="ES333" s="20"/>
      <c r="ET333" s="20"/>
      <c r="EU333" s="20"/>
      <c r="EV333" s="20"/>
      <c r="EW333" s="20"/>
      <c r="EX333" s="20"/>
      <c r="EY333" s="20"/>
      <c r="EZ333" s="20"/>
      <c r="FA333" s="20"/>
      <c r="FB333" s="20"/>
      <c r="FC333" s="20"/>
      <c r="FD333" s="20"/>
      <c r="FE333" s="20"/>
      <c r="FF333" s="20"/>
      <c r="FG333" s="20"/>
      <c r="FH333" s="20"/>
      <c r="FI333" s="20"/>
      <c r="FJ333" s="20"/>
      <c r="FK333" s="20"/>
      <c r="FL333" s="20"/>
      <c r="FM333" s="20"/>
      <c r="FN333" s="20"/>
      <c r="FO333" s="20"/>
      <c r="FP333" s="20"/>
      <c r="FQ333" s="20"/>
      <c r="FR333" s="20"/>
      <c r="FS333" s="20"/>
      <c r="FT333" s="20"/>
      <c r="FU333" s="20"/>
      <c r="FV333" s="20"/>
      <c r="FW333" s="20"/>
      <c r="FX333" s="20"/>
      <c r="FY333" s="20"/>
      <c r="FZ333" s="20"/>
      <c r="GA333" s="20"/>
      <c r="GB333" s="20"/>
      <c r="GC333" s="20"/>
      <c r="GD333" s="20"/>
      <c r="GE333" s="20"/>
      <c r="GF333" s="20"/>
      <c r="GG333" s="20"/>
      <c r="GH333" s="20"/>
      <c r="GI333" s="20"/>
      <c r="GJ333" s="20"/>
      <c r="GK333" s="20"/>
      <c r="GL333" s="20"/>
      <c r="GM333" s="20"/>
      <c r="GN333" s="20"/>
      <c r="GO333" s="20"/>
      <c r="GP333" s="20"/>
      <c r="GQ333" s="20"/>
      <c r="GR333" s="20"/>
      <c r="GS333" s="20"/>
      <c r="GT333" s="21"/>
      <c r="GU333" s="21"/>
      <c r="GV333" s="21"/>
      <c r="GW333" s="21"/>
      <c r="GX333" s="21"/>
      <c r="GY333" s="21"/>
      <c r="GZ333" s="21"/>
      <c r="HA333" s="21"/>
      <c r="HB333" s="21"/>
      <c r="HC333" s="21"/>
      <c r="HD333" s="21"/>
      <c r="HE333" s="21"/>
      <c r="HF333" s="21"/>
      <c r="HG333" s="21"/>
      <c r="HH333" s="21"/>
      <c r="HI333" s="21"/>
      <c r="HJ333" s="21"/>
      <c r="HK333" s="21"/>
      <c r="HL333" s="21"/>
      <c r="HM333" s="21"/>
      <c r="HN333" s="21"/>
      <c r="HO333" s="21"/>
      <c r="HP333" s="21"/>
      <c r="HQ333" s="21"/>
      <c r="HR333" s="21"/>
      <c r="HS333" s="21"/>
      <c r="HT333" s="21"/>
      <c r="HU333" s="21"/>
      <c r="HV333" s="21"/>
      <c r="HW333" s="21"/>
      <c r="HX333" s="21"/>
      <c r="HY333" s="21"/>
      <c r="HZ333" s="21"/>
      <c r="IA333" s="21"/>
      <c r="IB333" s="21"/>
      <c r="IC333" s="21"/>
      <c r="ID333" s="21"/>
      <c r="IE333" s="21"/>
      <c r="IF333" s="21"/>
      <c r="IG333" s="21"/>
      <c r="IH333" s="21"/>
      <c r="II333" s="21"/>
      <c r="IJ333" s="21"/>
      <c r="IK333" s="21"/>
      <c r="IL333" s="21"/>
      <c r="IM333" s="21"/>
      <c r="IN333" s="21"/>
      <c r="IO333" s="21"/>
      <c r="IP333" s="21"/>
      <c r="IQ333" s="21"/>
      <c r="IR333" s="21"/>
      <c r="IS333" s="21"/>
      <c r="IT333" s="21"/>
    </row>
    <row r="334" spans="1:254" s="3" customFormat="1" ht="27" customHeight="1">
      <c r="A334" s="11">
        <v>332</v>
      </c>
      <c r="B334" s="13" t="str">
        <f>"周著名"</f>
        <v>周著名</v>
      </c>
      <c r="C334" s="13" t="s">
        <v>24</v>
      </c>
      <c r="D334" s="13" t="str">
        <f>"230702204113"</f>
        <v>230702204113</v>
      </c>
      <c r="E334" s="18">
        <v>68.235</v>
      </c>
      <c r="F334" s="19" t="s">
        <v>10</v>
      </c>
      <c r="G334" s="19" t="s">
        <v>10</v>
      </c>
      <c r="H334" s="18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  <c r="CQ334" s="20"/>
      <c r="CR334" s="20"/>
      <c r="CS334" s="20"/>
      <c r="CT334" s="20"/>
      <c r="CU334" s="20"/>
      <c r="CV334" s="20"/>
      <c r="CW334" s="20"/>
      <c r="CX334" s="20"/>
      <c r="CY334" s="20"/>
      <c r="CZ334" s="20"/>
      <c r="DA334" s="20"/>
      <c r="DB334" s="20"/>
      <c r="DC334" s="20"/>
      <c r="DD334" s="20"/>
      <c r="DE334" s="20"/>
      <c r="DF334" s="20"/>
      <c r="DG334" s="20"/>
      <c r="DH334" s="20"/>
      <c r="DI334" s="20"/>
      <c r="DJ334" s="20"/>
      <c r="DK334" s="20"/>
      <c r="DL334" s="20"/>
      <c r="DM334" s="20"/>
      <c r="DN334" s="20"/>
      <c r="DO334" s="20"/>
      <c r="DP334" s="20"/>
      <c r="DQ334" s="20"/>
      <c r="DR334" s="20"/>
      <c r="DS334" s="20"/>
      <c r="DT334" s="20"/>
      <c r="DU334" s="20"/>
      <c r="DV334" s="20"/>
      <c r="DW334" s="20"/>
      <c r="DX334" s="20"/>
      <c r="DY334" s="20"/>
      <c r="DZ334" s="20"/>
      <c r="EA334" s="20"/>
      <c r="EB334" s="20"/>
      <c r="EC334" s="20"/>
      <c r="ED334" s="20"/>
      <c r="EE334" s="20"/>
      <c r="EF334" s="20"/>
      <c r="EG334" s="20"/>
      <c r="EH334" s="20"/>
      <c r="EI334" s="20"/>
      <c r="EJ334" s="20"/>
      <c r="EK334" s="20"/>
      <c r="EL334" s="20"/>
      <c r="EM334" s="20"/>
      <c r="EN334" s="20"/>
      <c r="EO334" s="20"/>
      <c r="EP334" s="20"/>
      <c r="EQ334" s="20"/>
      <c r="ER334" s="20"/>
      <c r="ES334" s="20"/>
      <c r="ET334" s="20"/>
      <c r="EU334" s="20"/>
      <c r="EV334" s="20"/>
      <c r="EW334" s="20"/>
      <c r="EX334" s="20"/>
      <c r="EY334" s="20"/>
      <c r="EZ334" s="20"/>
      <c r="FA334" s="20"/>
      <c r="FB334" s="20"/>
      <c r="FC334" s="20"/>
      <c r="FD334" s="20"/>
      <c r="FE334" s="20"/>
      <c r="FF334" s="20"/>
      <c r="FG334" s="20"/>
      <c r="FH334" s="20"/>
      <c r="FI334" s="20"/>
      <c r="FJ334" s="20"/>
      <c r="FK334" s="20"/>
      <c r="FL334" s="20"/>
      <c r="FM334" s="20"/>
      <c r="FN334" s="20"/>
      <c r="FO334" s="20"/>
      <c r="FP334" s="20"/>
      <c r="FQ334" s="20"/>
      <c r="FR334" s="20"/>
      <c r="FS334" s="20"/>
      <c r="FT334" s="20"/>
      <c r="FU334" s="20"/>
      <c r="FV334" s="20"/>
      <c r="FW334" s="20"/>
      <c r="FX334" s="20"/>
      <c r="FY334" s="20"/>
      <c r="FZ334" s="20"/>
      <c r="GA334" s="20"/>
      <c r="GB334" s="20"/>
      <c r="GC334" s="20"/>
      <c r="GD334" s="20"/>
      <c r="GE334" s="20"/>
      <c r="GF334" s="20"/>
      <c r="GG334" s="20"/>
      <c r="GH334" s="20"/>
      <c r="GI334" s="20"/>
      <c r="GJ334" s="20"/>
      <c r="GK334" s="20"/>
      <c r="GL334" s="20"/>
      <c r="GM334" s="20"/>
      <c r="GN334" s="20"/>
      <c r="GO334" s="20"/>
      <c r="GP334" s="20"/>
      <c r="GQ334" s="20"/>
      <c r="GR334" s="20"/>
      <c r="GS334" s="20"/>
      <c r="GT334" s="21"/>
      <c r="GU334" s="21"/>
      <c r="GV334" s="21"/>
      <c r="GW334" s="21"/>
      <c r="GX334" s="21"/>
      <c r="GY334" s="21"/>
      <c r="GZ334" s="21"/>
      <c r="HA334" s="21"/>
      <c r="HB334" s="21"/>
      <c r="HC334" s="21"/>
      <c r="HD334" s="21"/>
      <c r="HE334" s="21"/>
      <c r="HF334" s="21"/>
      <c r="HG334" s="21"/>
      <c r="HH334" s="21"/>
      <c r="HI334" s="21"/>
      <c r="HJ334" s="21"/>
      <c r="HK334" s="21"/>
      <c r="HL334" s="21"/>
      <c r="HM334" s="21"/>
      <c r="HN334" s="21"/>
      <c r="HO334" s="21"/>
      <c r="HP334" s="21"/>
      <c r="HQ334" s="21"/>
      <c r="HR334" s="21"/>
      <c r="HS334" s="21"/>
      <c r="HT334" s="21"/>
      <c r="HU334" s="21"/>
      <c r="HV334" s="21"/>
      <c r="HW334" s="21"/>
      <c r="HX334" s="21"/>
      <c r="HY334" s="21"/>
      <c r="HZ334" s="21"/>
      <c r="IA334" s="21"/>
      <c r="IB334" s="21"/>
      <c r="IC334" s="21"/>
      <c r="ID334" s="21"/>
      <c r="IE334" s="21"/>
      <c r="IF334" s="21"/>
      <c r="IG334" s="21"/>
      <c r="IH334" s="21"/>
      <c r="II334" s="21"/>
      <c r="IJ334" s="21"/>
      <c r="IK334" s="21"/>
      <c r="IL334" s="21"/>
      <c r="IM334" s="21"/>
      <c r="IN334" s="21"/>
      <c r="IO334" s="21"/>
      <c r="IP334" s="21"/>
      <c r="IQ334" s="21"/>
      <c r="IR334" s="21"/>
      <c r="IS334" s="21"/>
      <c r="IT334" s="21"/>
    </row>
    <row r="335" spans="1:254" s="3" customFormat="1" ht="27" customHeight="1">
      <c r="A335" s="11">
        <v>333</v>
      </c>
      <c r="B335" s="13" t="str">
        <f>"刘穗华"</f>
        <v>刘穗华</v>
      </c>
      <c r="C335" s="13" t="s">
        <v>24</v>
      </c>
      <c r="D335" s="13" t="str">
        <f>"230702203530"</f>
        <v>230702203530</v>
      </c>
      <c r="E335" s="18">
        <v>66.16499999999999</v>
      </c>
      <c r="F335" s="19" t="s">
        <v>10</v>
      </c>
      <c r="G335" s="19" t="s">
        <v>10</v>
      </c>
      <c r="H335" s="18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  <c r="CQ335" s="20"/>
      <c r="CR335" s="20"/>
      <c r="CS335" s="20"/>
      <c r="CT335" s="20"/>
      <c r="CU335" s="20"/>
      <c r="CV335" s="20"/>
      <c r="CW335" s="20"/>
      <c r="CX335" s="20"/>
      <c r="CY335" s="20"/>
      <c r="CZ335" s="20"/>
      <c r="DA335" s="20"/>
      <c r="DB335" s="20"/>
      <c r="DC335" s="20"/>
      <c r="DD335" s="20"/>
      <c r="DE335" s="20"/>
      <c r="DF335" s="20"/>
      <c r="DG335" s="20"/>
      <c r="DH335" s="20"/>
      <c r="DI335" s="20"/>
      <c r="DJ335" s="20"/>
      <c r="DK335" s="20"/>
      <c r="DL335" s="20"/>
      <c r="DM335" s="20"/>
      <c r="DN335" s="20"/>
      <c r="DO335" s="20"/>
      <c r="DP335" s="20"/>
      <c r="DQ335" s="20"/>
      <c r="DR335" s="20"/>
      <c r="DS335" s="20"/>
      <c r="DT335" s="20"/>
      <c r="DU335" s="20"/>
      <c r="DV335" s="20"/>
      <c r="DW335" s="20"/>
      <c r="DX335" s="20"/>
      <c r="DY335" s="20"/>
      <c r="DZ335" s="20"/>
      <c r="EA335" s="20"/>
      <c r="EB335" s="20"/>
      <c r="EC335" s="20"/>
      <c r="ED335" s="20"/>
      <c r="EE335" s="20"/>
      <c r="EF335" s="20"/>
      <c r="EG335" s="20"/>
      <c r="EH335" s="20"/>
      <c r="EI335" s="20"/>
      <c r="EJ335" s="20"/>
      <c r="EK335" s="20"/>
      <c r="EL335" s="20"/>
      <c r="EM335" s="20"/>
      <c r="EN335" s="20"/>
      <c r="EO335" s="20"/>
      <c r="EP335" s="20"/>
      <c r="EQ335" s="20"/>
      <c r="ER335" s="20"/>
      <c r="ES335" s="20"/>
      <c r="ET335" s="20"/>
      <c r="EU335" s="20"/>
      <c r="EV335" s="20"/>
      <c r="EW335" s="20"/>
      <c r="EX335" s="20"/>
      <c r="EY335" s="20"/>
      <c r="EZ335" s="20"/>
      <c r="FA335" s="20"/>
      <c r="FB335" s="20"/>
      <c r="FC335" s="20"/>
      <c r="FD335" s="20"/>
      <c r="FE335" s="20"/>
      <c r="FF335" s="20"/>
      <c r="FG335" s="20"/>
      <c r="FH335" s="20"/>
      <c r="FI335" s="20"/>
      <c r="FJ335" s="20"/>
      <c r="FK335" s="20"/>
      <c r="FL335" s="20"/>
      <c r="FM335" s="20"/>
      <c r="FN335" s="20"/>
      <c r="FO335" s="20"/>
      <c r="FP335" s="20"/>
      <c r="FQ335" s="20"/>
      <c r="FR335" s="20"/>
      <c r="FS335" s="20"/>
      <c r="FT335" s="20"/>
      <c r="FU335" s="20"/>
      <c r="FV335" s="20"/>
      <c r="FW335" s="20"/>
      <c r="FX335" s="20"/>
      <c r="FY335" s="20"/>
      <c r="FZ335" s="20"/>
      <c r="GA335" s="20"/>
      <c r="GB335" s="20"/>
      <c r="GC335" s="20"/>
      <c r="GD335" s="20"/>
      <c r="GE335" s="20"/>
      <c r="GF335" s="20"/>
      <c r="GG335" s="20"/>
      <c r="GH335" s="20"/>
      <c r="GI335" s="20"/>
      <c r="GJ335" s="20"/>
      <c r="GK335" s="20"/>
      <c r="GL335" s="20"/>
      <c r="GM335" s="20"/>
      <c r="GN335" s="20"/>
      <c r="GO335" s="20"/>
      <c r="GP335" s="20"/>
      <c r="GQ335" s="20"/>
      <c r="GR335" s="20"/>
      <c r="GS335" s="20"/>
      <c r="GT335" s="21"/>
      <c r="GU335" s="21"/>
      <c r="GV335" s="21"/>
      <c r="GW335" s="21"/>
      <c r="GX335" s="21"/>
      <c r="GY335" s="21"/>
      <c r="GZ335" s="21"/>
      <c r="HA335" s="21"/>
      <c r="HB335" s="21"/>
      <c r="HC335" s="21"/>
      <c r="HD335" s="21"/>
      <c r="HE335" s="21"/>
      <c r="HF335" s="21"/>
      <c r="HG335" s="21"/>
      <c r="HH335" s="21"/>
      <c r="HI335" s="21"/>
      <c r="HJ335" s="21"/>
      <c r="HK335" s="21"/>
      <c r="HL335" s="21"/>
      <c r="HM335" s="21"/>
      <c r="HN335" s="21"/>
      <c r="HO335" s="21"/>
      <c r="HP335" s="21"/>
      <c r="HQ335" s="21"/>
      <c r="HR335" s="21"/>
      <c r="HS335" s="21"/>
      <c r="HT335" s="21"/>
      <c r="HU335" s="21"/>
      <c r="HV335" s="21"/>
      <c r="HW335" s="21"/>
      <c r="HX335" s="21"/>
      <c r="HY335" s="21"/>
      <c r="HZ335" s="21"/>
      <c r="IA335" s="21"/>
      <c r="IB335" s="21"/>
      <c r="IC335" s="21"/>
      <c r="ID335" s="21"/>
      <c r="IE335" s="21"/>
      <c r="IF335" s="21"/>
      <c r="IG335" s="21"/>
      <c r="IH335" s="21"/>
      <c r="II335" s="21"/>
      <c r="IJ335" s="21"/>
      <c r="IK335" s="21"/>
      <c r="IL335" s="21"/>
      <c r="IM335" s="21"/>
      <c r="IN335" s="21"/>
      <c r="IO335" s="21"/>
      <c r="IP335" s="21"/>
      <c r="IQ335" s="21"/>
      <c r="IR335" s="21"/>
      <c r="IS335" s="21"/>
      <c r="IT335" s="21"/>
    </row>
    <row r="336" spans="1:254" s="3" customFormat="1" ht="27" customHeight="1">
      <c r="A336" s="11">
        <v>334</v>
      </c>
      <c r="B336" s="13" t="str">
        <f>"羊河泉"</f>
        <v>羊河泉</v>
      </c>
      <c r="C336" s="13" t="s">
        <v>25</v>
      </c>
      <c r="D336" s="13" t="str">
        <f>"230702204330"</f>
        <v>230702204330</v>
      </c>
      <c r="E336" s="18">
        <v>72.465</v>
      </c>
      <c r="F336" s="19" t="s">
        <v>10</v>
      </c>
      <c r="G336" s="19" t="s">
        <v>10</v>
      </c>
      <c r="H336" s="18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0"/>
      <c r="CP336" s="20"/>
      <c r="CQ336" s="20"/>
      <c r="CR336" s="20"/>
      <c r="CS336" s="20"/>
      <c r="CT336" s="20"/>
      <c r="CU336" s="20"/>
      <c r="CV336" s="20"/>
      <c r="CW336" s="20"/>
      <c r="CX336" s="20"/>
      <c r="CY336" s="20"/>
      <c r="CZ336" s="20"/>
      <c r="DA336" s="20"/>
      <c r="DB336" s="20"/>
      <c r="DC336" s="20"/>
      <c r="DD336" s="20"/>
      <c r="DE336" s="20"/>
      <c r="DF336" s="20"/>
      <c r="DG336" s="20"/>
      <c r="DH336" s="20"/>
      <c r="DI336" s="20"/>
      <c r="DJ336" s="20"/>
      <c r="DK336" s="20"/>
      <c r="DL336" s="20"/>
      <c r="DM336" s="20"/>
      <c r="DN336" s="20"/>
      <c r="DO336" s="20"/>
      <c r="DP336" s="20"/>
      <c r="DQ336" s="20"/>
      <c r="DR336" s="20"/>
      <c r="DS336" s="20"/>
      <c r="DT336" s="20"/>
      <c r="DU336" s="20"/>
      <c r="DV336" s="20"/>
      <c r="DW336" s="20"/>
      <c r="DX336" s="20"/>
      <c r="DY336" s="20"/>
      <c r="DZ336" s="20"/>
      <c r="EA336" s="20"/>
      <c r="EB336" s="20"/>
      <c r="EC336" s="20"/>
      <c r="ED336" s="20"/>
      <c r="EE336" s="20"/>
      <c r="EF336" s="20"/>
      <c r="EG336" s="20"/>
      <c r="EH336" s="20"/>
      <c r="EI336" s="20"/>
      <c r="EJ336" s="20"/>
      <c r="EK336" s="20"/>
      <c r="EL336" s="20"/>
      <c r="EM336" s="20"/>
      <c r="EN336" s="20"/>
      <c r="EO336" s="20"/>
      <c r="EP336" s="20"/>
      <c r="EQ336" s="20"/>
      <c r="ER336" s="20"/>
      <c r="ES336" s="20"/>
      <c r="ET336" s="20"/>
      <c r="EU336" s="20"/>
      <c r="EV336" s="20"/>
      <c r="EW336" s="20"/>
      <c r="EX336" s="20"/>
      <c r="EY336" s="20"/>
      <c r="EZ336" s="20"/>
      <c r="FA336" s="20"/>
      <c r="FB336" s="20"/>
      <c r="FC336" s="20"/>
      <c r="FD336" s="20"/>
      <c r="FE336" s="20"/>
      <c r="FF336" s="20"/>
      <c r="FG336" s="20"/>
      <c r="FH336" s="20"/>
      <c r="FI336" s="20"/>
      <c r="FJ336" s="20"/>
      <c r="FK336" s="20"/>
      <c r="FL336" s="20"/>
      <c r="FM336" s="20"/>
      <c r="FN336" s="20"/>
      <c r="FO336" s="20"/>
      <c r="FP336" s="20"/>
      <c r="FQ336" s="20"/>
      <c r="FR336" s="20"/>
      <c r="FS336" s="20"/>
      <c r="FT336" s="20"/>
      <c r="FU336" s="20"/>
      <c r="FV336" s="20"/>
      <c r="FW336" s="20"/>
      <c r="FX336" s="20"/>
      <c r="FY336" s="20"/>
      <c r="FZ336" s="20"/>
      <c r="GA336" s="20"/>
      <c r="GB336" s="20"/>
      <c r="GC336" s="20"/>
      <c r="GD336" s="20"/>
      <c r="GE336" s="20"/>
      <c r="GF336" s="20"/>
      <c r="GG336" s="20"/>
      <c r="GH336" s="20"/>
      <c r="GI336" s="20"/>
      <c r="GJ336" s="20"/>
      <c r="GK336" s="20"/>
      <c r="GL336" s="20"/>
      <c r="GM336" s="20"/>
      <c r="GN336" s="20"/>
      <c r="GO336" s="20"/>
      <c r="GP336" s="20"/>
      <c r="GQ336" s="20"/>
      <c r="GR336" s="20"/>
      <c r="GS336" s="20"/>
      <c r="GT336" s="21"/>
      <c r="GU336" s="21"/>
      <c r="GV336" s="21"/>
      <c r="GW336" s="21"/>
      <c r="GX336" s="21"/>
      <c r="GY336" s="21"/>
      <c r="GZ336" s="21"/>
      <c r="HA336" s="21"/>
      <c r="HB336" s="21"/>
      <c r="HC336" s="21"/>
      <c r="HD336" s="21"/>
      <c r="HE336" s="21"/>
      <c r="HF336" s="21"/>
      <c r="HG336" s="21"/>
      <c r="HH336" s="21"/>
      <c r="HI336" s="21"/>
      <c r="HJ336" s="21"/>
      <c r="HK336" s="21"/>
      <c r="HL336" s="21"/>
      <c r="HM336" s="21"/>
      <c r="HN336" s="21"/>
      <c r="HO336" s="21"/>
      <c r="HP336" s="21"/>
      <c r="HQ336" s="21"/>
      <c r="HR336" s="21"/>
      <c r="HS336" s="21"/>
      <c r="HT336" s="21"/>
      <c r="HU336" s="21"/>
      <c r="HV336" s="21"/>
      <c r="HW336" s="21"/>
      <c r="HX336" s="21"/>
      <c r="HY336" s="21"/>
      <c r="HZ336" s="21"/>
      <c r="IA336" s="21"/>
      <c r="IB336" s="21"/>
      <c r="IC336" s="21"/>
      <c r="ID336" s="21"/>
      <c r="IE336" s="21"/>
      <c r="IF336" s="21"/>
      <c r="IG336" s="21"/>
      <c r="IH336" s="21"/>
      <c r="II336" s="21"/>
      <c r="IJ336" s="21"/>
      <c r="IK336" s="21"/>
      <c r="IL336" s="21"/>
      <c r="IM336" s="21"/>
      <c r="IN336" s="21"/>
      <c r="IO336" s="21"/>
      <c r="IP336" s="21"/>
      <c r="IQ336" s="21"/>
      <c r="IR336" s="21"/>
      <c r="IS336" s="21"/>
      <c r="IT336" s="21"/>
    </row>
    <row r="337" spans="1:254" s="3" customFormat="1" ht="27" customHeight="1">
      <c r="A337" s="11">
        <v>335</v>
      </c>
      <c r="B337" s="13" t="str">
        <f>"张俊恩"</f>
        <v>张俊恩</v>
      </c>
      <c r="C337" s="13" t="s">
        <v>25</v>
      </c>
      <c r="D337" s="13" t="str">
        <f>"230702204722"</f>
        <v>230702204722</v>
      </c>
      <c r="E337" s="18">
        <v>69.59</v>
      </c>
      <c r="F337" s="19" t="s">
        <v>10</v>
      </c>
      <c r="G337" s="19" t="s">
        <v>10</v>
      </c>
      <c r="H337" s="18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  <c r="CQ337" s="20"/>
      <c r="CR337" s="20"/>
      <c r="CS337" s="20"/>
      <c r="CT337" s="20"/>
      <c r="CU337" s="20"/>
      <c r="CV337" s="20"/>
      <c r="CW337" s="20"/>
      <c r="CX337" s="20"/>
      <c r="CY337" s="20"/>
      <c r="CZ337" s="20"/>
      <c r="DA337" s="20"/>
      <c r="DB337" s="20"/>
      <c r="DC337" s="20"/>
      <c r="DD337" s="20"/>
      <c r="DE337" s="20"/>
      <c r="DF337" s="20"/>
      <c r="DG337" s="20"/>
      <c r="DH337" s="20"/>
      <c r="DI337" s="20"/>
      <c r="DJ337" s="20"/>
      <c r="DK337" s="20"/>
      <c r="DL337" s="20"/>
      <c r="DM337" s="20"/>
      <c r="DN337" s="20"/>
      <c r="DO337" s="20"/>
      <c r="DP337" s="20"/>
      <c r="DQ337" s="20"/>
      <c r="DR337" s="20"/>
      <c r="DS337" s="20"/>
      <c r="DT337" s="20"/>
      <c r="DU337" s="20"/>
      <c r="DV337" s="20"/>
      <c r="DW337" s="20"/>
      <c r="DX337" s="20"/>
      <c r="DY337" s="20"/>
      <c r="DZ337" s="20"/>
      <c r="EA337" s="20"/>
      <c r="EB337" s="20"/>
      <c r="EC337" s="20"/>
      <c r="ED337" s="20"/>
      <c r="EE337" s="20"/>
      <c r="EF337" s="20"/>
      <c r="EG337" s="20"/>
      <c r="EH337" s="20"/>
      <c r="EI337" s="20"/>
      <c r="EJ337" s="20"/>
      <c r="EK337" s="20"/>
      <c r="EL337" s="20"/>
      <c r="EM337" s="20"/>
      <c r="EN337" s="20"/>
      <c r="EO337" s="20"/>
      <c r="EP337" s="20"/>
      <c r="EQ337" s="20"/>
      <c r="ER337" s="20"/>
      <c r="ES337" s="20"/>
      <c r="ET337" s="20"/>
      <c r="EU337" s="20"/>
      <c r="EV337" s="20"/>
      <c r="EW337" s="20"/>
      <c r="EX337" s="20"/>
      <c r="EY337" s="20"/>
      <c r="EZ337" s="20"/>
      <c r="FA337" s="20"/>
      <c r="FB337" s="20"/>
      <c r="FC337" s="20"/>
      <c r="FD337" s="20"/>
      <c r="FE337" s="20"/>
      <c r="FF337" s="20"/>
      <c r="FG337" s="20"/>
      <c r="FH337" s="20"/>
      <c r="FI337" s="20"/>
      <c r="FJ337" s="20"/>
      <c r="FK337" s="20"/>
      <c r="FL337" s="20"/>
      <c r="FM337" s="20"/>
      <c r="FN337" s="20"/>
      <c r="FO337" s="20"/>
      <c r="FP337" s="20"/>
      <c r="FQ337" s="20"/>
      <c r="FR337" s="20"/>
      <c r="FS337" s="20"/>
      <c r="FT337" s="20"/>
      <c r="FU337" s="20"/>
      <c r="FV337" s="20"/>
      <c r="FW337" s="20"/>
      <c r="FX337" s="20"/>
      <c r="FY337" s="20"/>
      <c r="FZ337" s="20"/>
      <c r="GA337" s="20"/>
      <c r="GB337" s="20"/>
      <c r="GC337" s="20"/>
      <c r="GD337" s="20"/>
      <c r="GE337" s="20"/>
      <c r="GF337" s="20"/>
      <c r="GG337" s="20"/>
      <c r="GH337" s="20"/>
      <c r="GI337" s="20"/>
      <c r="GJ337" s="20"/>
      <c r="GK337" s="20"/>
      <c r="GL337" s="20"/>
      <c r="GM337" s="20"/>
      <c r="GN337" s="20"/>
      <c r="GO337" s="20"/>
      <c r="GP337" s="20"/>
      <c r="GQ337" s="20"/>
      <c r="GR337" s="20"/>
      <c r="GS337" s="20"/>
      <c r="GT337" s="21"/>
      <c r="GU337" s="21"/>
      <c r="GV337" s="21"/>
      <c r="GW337" s="21"/>
      <c r="GX337" s="21"/>
      <c r="GY337" s="21"/>
      <c r="GZ337" s="21"/>
      <c r="HA337" s="21"/>
      <c r="HB337" s="21"/>
      <c r="HC337" s="21"/>
      <c r="HD337" s="21"/>
      <c r="HE337" s="21"/>
      <c r="HF337" s="21"/>
      <c r="HG337" s="21"/>
      <c r="HH337" s="21"/>
      <c r="HI337" s="21"/>
      <c r="HJ337" s="21"/>
      <c r="HK337" s="21"/>
      <c r="HL337" s="21"/>
      <c r="HM337" s="21"/>
      <c r="HN337" s="21"/>
      <c r="HO337" s="21"/>
      <c r="HP337" s="21"/>
      <c r="HQ337" s="21"/>
      <c r="HR337" s="21"/>
      <c r="HS337" s="21"/>
      <c r="HT337" s="21"/>
      <c r="HU337" s="21"/>
      <c r="HV337" s="21"/>
      <c r="HW337" s="21"/>
      <c r="HX337" s="21"/>
      <c r="HY337" s="21"/>
      <c r="HZ337" s="21"/>
      <c r="IA337" s="21"/>
      <c r="IB337" s="21"/>
      <c r="IC337" s="21"/>
      <c r="ID337" s="21"/>
      <c r="IE337" s="21"/>
      <c r="IF337" s="21"/>
      <c r="IG337" s="21"/>
      <c r="IH337" s="21"/>
      <c r="II337" s="21"/>
      <c r="IJ337" s="21"/>
      <c r="IK337" s="21"/>
      <c r="IL337" s="21"/>
      <c r="IM337" s="21"/>
      <c r="IN337" s="21"/>
      <c r="IO337" s="21"/>
      <c r="IP337" s="21"/>
      <c r="IQ337" s="21"/>
      <c r="IR337" s="21"/>
      <c r="IS337" s="21"/>
      <c r="IT337" s="21"/>
    </row>
    <row r="338" spans="1:254" s="3" customFormat="1" ht="27" customHeight="1">
      <c r="A338" s="11">
        <v>336</v>
      </c>
      <c r="B338" s="13" t="str">
        <f>"阙胜涛"</f>
        <v>阙胜涛</v>
      </c>
      <c r="C338" s="13" t="s">
        <v>25</v>
      </c>
      <c r="D338" s="13" t="str">
        <f>"230702205211"</f>
        <v>230702205211</v>
      </c>
      <c r="E338" s="18">
        <v>69.38499999999999</v>
      </c>
      <c r="F338" s="19" t="s">
        <v>10</v>
      </c>
      <c r="G338" s="19" t="s">
        <v>10</v>
      </c>
      <c r="H338" s="18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  <c r="CQ338" s="20"/>
      <c r="CR338" s="20"/>
      <c r="CS338" s="20"/>
      <c r="CT338" s="20"/>
      <c r="CU338" s="20"/>
      <c r="CV338" s="20"/>
      <c r="CW338" s="20"/>
      <c r="CX338" s="20"/>
      <c r="CY338" s="20"/>
      <c r="CZ338" s="20"/>
      <c r="DA338" s="20"/>
      <c r="DB338" s="20"/>
      <c r="DC338" s="20"/>
      <c r="DD338" s="20"/>
      <c r="DE338" s="20"/>
      <c r="DF338" s="20"/>
      <c r="DG338" s="20"/>
      <c r="DH338" s="20"/>
      <c r="DI338" s="20"/>
      <c r="DJ338" s="20"/>
      <c r="DK338" s="20"/>
      <c r="DL338" s="20"/>
      <c r="DM338" s="20"/>
      <c r="DN338" s="20"/>
      <c r="DO338" s="20"/>
      <c r="DP338" s="20"/>
      <c r="DQ338" s="20"/>
      <c r="DR338" s="20"/>
      <c r="DS338" s="20"/>
      <c r="DT338" s="20"/>
      <c r="DU338" s="20"/>
      <c r="DV338" s="20"/>
      <c r="DW338" s="20"/>
      <c r="DX338" s="20"/>
      <c r="DY338" s="20"/>
      <c r="DZ338" s="20"/>
      <c r="EA338" s="20"/>
      <c r="EB338" s="20"/>
      <c r="EC338" s="20"/>
      <c r="ED338" s="20"/>
      <c r="EE338" s="20"/>
      <c r="EF338" s="20"/>
      <c r="EG338" s="20"/>
      <c r="EH338" s="20"/>
      <c r="EI338" s="20"/>
      <c r="EJ338" s="20"/>
      <c r="EK338" s="20"/>
      <c r="EL338" s="20"/>
      <c r="EM338" s="20"/>
      <c r="EN338" s="20"/>
      <c r="EO338" s="20"/>
      <c r="EP338" s="20"/>
      <c r="EQ338" s="20"/>
      <c r="ER338" s="20"/>
      <c r="ES338" s="20"/>
      <c r="ET338" s="20"/>
      <c r="EU338" s="20"/>
      <c r="EV338" s="20"/>
      <c r="EW338" s="20"/>
      <c r="EX338" s="20"/>
      <c r="EY338" s="20"/>
      <c r="EZ338" s="20"/>
      <c r="FA338" s="20"/>
      <c r="FB338" s="20"/>
      <c r="FC338" s="20"/>
      <c r="FD338" s="20"/>
      <c r="FE338" s="20"/>
      <c r="FF338" s="20"/>
      <c r="FG338" s="20"/>
      <c r="FH338" s="20"/>
      <c r="FI338" s="20"/>
      <c r="FJ338" s="20"/>
      <c r="FK338" s="20"/>
      <c r="FL338" s="20"/>
      <c r="FM338" s="20"/>
      <c r="FN338" s="20"/>
      <c r="FO338" s="20"/>
      <c r="FP338" s="20"/>
      <c r="FQ338" s="20"/>
      <c r="FR338" s="20"/>
      <c r="FS338" s="20"/>
      <c r="FT338" s="20"/>
      <c r="FU338" s="20"/>
      <c r="FV338" s="20"/>
      <c r="FW338" s="20"/>
      <c r="FX338" s="20"/>
      <c r="FY338" s="20"/>
      <c r="FZ338" s="20"/>
      <c r="GA338" s="20"/>
      <c r="GB338" s="20"/>
      <c r="GC338" s="20"/>
      <c r="GD338" s="20"/>
      <c r="GE338" s="20"/>
      <c r="GF338" s="20"/>
      <c r="GG338" s="20"/>
      <c r="GH338" s="20"/>
      <c r="GI338" s="20"/>
      <c r="GJ338" s="20"/>
      <c r="GK338" s="20"/>
      <c r="GL338" s="20"/>
      <c r="GM338" s="20"/>
      <c r="GN338" s="20"/>
      <c r="GO338" s="20"/>
      <c r="GP338" s="20"/>
      <c r="GQ338" s="20"/>
      <c r="GR338" s="20"/>
      <c r="GS338" s="20"/>
      <c r="GT338" s="21"/>
      <c r="GU338" s="21"/>
      <c r="GV338" s="21"/>
      <c r="GW338" s="21"/>
      <c r="GX338" s="21"/>
      <c r="GY338" s="21"/>
      <c r="GZ338" s="21"/>
      <c r="HA338" s="21"/>
      <c r="HB338" s="21"/>
      <c r="HC338" s="21"/>
      <c r="HD338" s="21"/>
      <c r="HE338" s="21"/>
      <c r="HF338" s="21"/>
      <c r="HG338" s="21"/>
      <c r="HH338" s="21"/>
      <c r="HI338" s="21"/>
      <c r="HJ338" s="21"/>
      <c r="HK338" s="21"/>
      <c r="HL338" s="21"/>
      <c r="HM338" s="21"/>
      <c r="HN338" s="21"/>
      <c r="HO338" s="21"/>
      <c r="HP338" s="21"/>
      <c r="HQ338" s="21"/>
      <c r="HR338" s="21"/>
      <c r="HS338" s="21"/>
      <c r="HT338" s="21"/>
      <c r="HU338" s="21"/>
      <c r="HV338" s="21"/>
      <c r="HW338" s="21"/>
      <c r="HX338" s="21"/>
      <c r="HY338" s="21"/>
      <c r="HZ338" s="21"/>
      <c r="IA338" s="21"/>
      <c r="IB338" s="21"/>
      <c r="IC338" s="21"/>
      <c r="ID338" s="21"/>
      <c r="IE338" s="21"/>
      <c r="IF338" s="21"/>
      <c r="IG338" s="21"/>
      <c r="IH338" s="21"/>
      <c r="II338" s="21"/>
      <c r="IJ338" s="21"/>
      <c r="IK338" s="21"/>
      <c r="IL338" s="21"/>
      <c r="IM338" s="21"/>
      <c r="IN338" s="21"/>
      <c r="IO338" s="21"/>
      <c r="IP338" s="21"/>
      <c r="IQ338" s="21"/>
      <c r="IR338" s="21"/>
      <c r="IS338" s="21"/>
      <c r="IT338" s="21"/>
    </row>
    <row r="339" spans="1:254" s="3" customFormat="1" ht="27" customHeight="1">
      <c r="A339" s="11">
        <v>337</v>
      </c>
      <c r="B339" s="13" t="str">
        <f>"陈上丰"</f>
        <v>陈上丰</v>
      </c>
      <c r="C339" s="13" t="s">
        <v>25</v>
      </c>
      <c r="D339" s="13" t="str">
        <f>"230702204914"</f>
        <v>230702204914</v>
      </c>
      <c r="E339" s="18">
        <v>67.1</v>
      </c>
      <c r="F339" s="19" t="s">
        <v>10</v>
      </c>
      <c r="G339" s="19" t="s">
        <v>10</v>
      </c>
      <c r="H339" s="18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  <c r="CQ339" s="20"/>
      <c r="CR339" s="20"/>
      <c r="CS339" s="20"/>
      <c r="CT339" s="20"/>
      <c r="CU339" s="20"/>
      <c r="CV339" s="20"/>
      <c r="CW339" s="20"/>
      <c r="CX339" s="20"/>
      <c r="CY339" s="20"/>
      <c r="CZ339" s="20"/>
      <c r="DA339" s="20"/>
      <c r="DB339" s="20"/>
      <c r="DC339" s="20"/>
      <c r="DD339" s="20"/>
      <c r="DE339" s="20"/>
      <c r="DF339" s="20"/>
      <c r="DG339" s="20"/>
      <c r="DH339" s="20"/>
      <c r="DI339" s="20"/>
      <c r="DJ339" s="20"/>
      <c r="DK339" s="20"/>
      <c r="DL339" s="20"/>
      <c r="DM339" s="20"/>
      <c r="DN339" s="20"/>
      <c r="DO339" s="20"/>
      <c r="DP339" s="20"/>
      <c r="DQ339" s="20"/>
      <c r="DR339" s="20"/>
      <c r="DS339" s="20"/>
      <c r="DT339" s="20"/>
      <c r="DU339" s="20"/>
      <c r="DV339" s="20"/>
      <c r="DW339" s="20"/>
      <c r="DX339" s="20"/>
      <c r="DY339" s="20"/>
      <c r="DZ339" s="20"/>
      <c r="EA339" s="20"/>
      <c r="EB339" s="20"/>
      <c r="EC339" s="20"/>
      <c r="ED339" s="20"/>
      <c r="EE339" s="20"/>
      <c r="EF339" s="20"/>
      <c r="EG339" s="20"/>
      <c r="EH339" s="20"/>
      <c r="EI339" s="20"/>
      <c r="EJ339" s="20"/>
      <c r="EK339" s="20"/>
      <c r="EL339" s="20"/>
      <c r="EM339" s="20"/>
      <c r="EN339" s="20"/>
      <c r="EO339" s="20"/>
      <c r="EP339" s="20"/>
      <c r="EQ339" s="20"/>
      <c r="ER339" s="20"/>
      <c r="ES339" s="20"/>
      <c r="ET339" s="20"/>
      <c r="EU339" s="20"/>
      <c r="EV339" s="20"/>
      <c r="EW339" s="20"/>
      <c r="EX339" s="20"/>
      <c r="EY339" s="20"/>
      <c r="EZ339" s="20"/>
      <c r="FA339" s="20"/>
      <c r="FB339" s="20"/>
      <c r="FC339" s="20"/>
      <c r="FD339" s="20"/>
      <c r="FE339" s="20"/>
      <c r="FF339" s="20"/>
      <c r="FG339" s="20"/>
      <c r="FH339" s="20"/>
      <c r="FI339" s="20"/>
      <c r="FJ339" s="20"/>
      <c r="FK339" s="20"/>
      <c r="FL339" s="20"/>
      <c r="FM339" s="20"/>
      <c r="FN339" s="20"/>
      <c r="FO339" s="20"/>
      <c r="FP339" s="20"/>
      <c r="FQ339" s="20"/>
      <c r="FR339" s="20"/>
      <c r="FS339" s="20"/>
      <c r="FT339" s="20"/>
      <c r="FU339" s="20"/>
      <c r="FV339" s="20"/>
      <c r="FW339" s="20"/>
      <c r="FX339" s="20"/>
      <c r="FY339" s="20"/>
      <c r="FZ339" s="20"/>
      <c r="GA339" s="20"/>
      <c r="GB339" s="20"/>
      <c r="GC339" s="20"/>
      <c r="GD339" s="20"/>
      <c r="GE339" s="20"/>
      <c r="GF339" s="20"/>
      <c r="GG339" s="20"/>
      <c r="GH339" s="20"/>
      <c r="GI339" s="20"/>
      <c r="GJ339" s="20"/>
      <c r="GK339" s="20"/>
      <c r="GL339" s="20"/>
      <c r="GM339" s="20"/>
      <c r="GN339" s="20"/>
      <c r="GO339" s="20"/>
      <c r="GP339" s="20"/>
      <c r="GQ339" s="20"/>
      <c r="GR339" s="20"/>
      <c r="GS339" s="20"/>
      <c r="GT339" s="21"/>
      <c r="GU339" s="21"/>
      <c r="GV339" s="21"/>
      <c r="GW339" s="21"/>
      <c r="GX339" s="21"/>
      <c r="GY339" s="21"/>
      <c r="GZ339" s="21"/>
      <c r="HA339" s="21"/>
      <c r="HB339" s="21"/>
      <c r="HC339" s="21"/>
      <c r="HD339" s="21"/>
      <c r="HE339" s="21"/>
      <c r="HF339" s="21"/>
      <c r="HG339" s="21"/>
      <c r="HH339" s="21"/>
      <c r="HI339" s="21"/>
      <c r="HJ339" s="21"/>
      <c r="HK339" s="21"/>
      <c r="HL339" s="21"/>
      <c r="HM339" s="21"/>
      <c r="HN339" s="21"/>
      <c r="HO339" s="21"/>
      <c r="HP339" s="21"/>
      <c r="HQ339" s="21"/>
      <c r="HR339" s="21"/>
      <c r="HS339" s="21"/>
      <c r="HT339" s="21"/>
      <c r="HU339" s="21"/>
      <c r="HV339" s="21"/>
      <c r="HW339" s="21"/>
      <c r="HX339" s="21"/>
      <c r="HY339" s="21"/>
      <c r="HZ339" s="21"/>
      <c r="IA339" s="21"/>
      <c r="IB339" s="21"/>
      <c r="IC339" s="21"/>
      <c r="ID339" s="21"/>
      <c r="IE339" s="21"/>
      <c r="IF339" s="21"/>
      <c r="IG339" s="21"/>
      <c r="IH339" s="21"/>
      <c r="II339" s="21"/>
      <c r="IJ339" s="21"/>
      <c r="IK339" s="21"/>
      <c r="IL339" s="21"/>
      <c r="IM339" s="21"/>
      <c r="IN339" s="21"/>
      <c r="IO339" s="21"/>
      <c r="IP339" s="21"/>
      <c r="IQ339" s="21"/>
      <c r="IR339" s="21"/>
      <c r="IS339" s="21"/>
      <c r="IT339" s="21"/>
    </row>
    <row r="340" spans="1:254" s="3" customFormat="1" ht="27" customHeight="1">
      <c r="A340" s="11">
        <v>338</v>
      </c>
      <c r="B340" s="13" t="str">
        <f>"李绍应"</f>
        <v>李绍应</v>
      </c>
      <c r="C340" s="13" t="s">
        <v>25</v>
      </c>
      <c r="D340" s="13" t="str">
        <f>"230702205221"</f>
        <v>230702205221</v>
      </c>
      <c r="E340" s="18">
        <v>67.07</v>
      </c>
      <c r="F340" s="19" t="s">
        <v>10</v>
      </c>
      <c r="G340" s="19" t="s">
        <v>10</v>
      </c>
      <c r="H340" s="18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0"/>
      <c r="CP340" s="20"/>
      <c r="CQ340" s="20"/>
      <c r="CR340" s="20"/>
      <c r="CS340" s="20"/>
      <c r="CT340" s="20"/>
      <c r="CU340" s="20"/>
      <c r="CV340" s="20"/>
      <c r="CW340" s="20"/>
      <c r="CX340" s="20"/>
      <c r="CY340" s="20"/>
      <c r="CZ340" s="20"/>
      <c r="DA340" s="20"/>
      <c r="DB340" s="20"/>
      <c r="DC340" s="20"/>
      <c r="DD340" s="20"/>
      <c r="DE340" s="20"/>
      <c r="DF340" s="20"/>
      <c r="DG340" s="20"/>
      <c r="DH340" s="20"/>
      <c r="DI340" s="20"/>
      <c r="DJ340" s="20"/>
      <c r="DK340" s="20"/>
      <c r="DL340" s="20"/>
      <c r="DM340" s="20"/>
      <c r="DN340" s="20"/>
      <c r="DO340" s="20"/>
      <c r="DP340" s="20"/>
      <c r="DQ340" s="20"/>
      <c r="DR340" s="20"/>
      <c r="DS340" s="20"/>
      <c r="DT340" s="20"/>
      <c r="DU340" s="20"/>
      <c r="DV340" s="20"/>
      <c r="DW340" s="20"/>
      <c r="DX340" s="20"/>
      <c r="DY340" s="20"/>
      <c r="DZ340" s="20"/>
      <c r="EA340" s="20"/>
      <c r="EB340" s="20"/>
      <c r="EC340" s="20"/>
      <c r="ED340" s="20"/>
      <c r="EE340" s="20"/>
      <c r="EF340" s="20"/>
      <c r="EG340" s="20"/>
      <c r="EH340" s="20"/>
      <c r="EI340" s="20"/>
      <c r="EJ340" s="20"/>
      <c r="EK340" s="20"/>
      <c r="EL340" s="20"/>
      <c r="EM340" s="20"/>
      <c r="EN340" s="20"/>
      <c r="EO340" s="20"/>
      <c r="EP340" s="20"/>
      <c r="EQ340" s="20"/>
      <c r="ER340" s="20"/>
      <c r="ES340" s="20"/>
      <c r="ET340" s="20"/>
      <c r="EU340" s="20"/>
      <c r="EV340" s="20"/>
      <c r="EW340" s="20"/>
      <c r="EX340" s="20"/>
      <c r="EY340" s="20"/>
      <c r="EZ340" s="20"/>
      <c r="FA340" s="20"/>
      <c r="FB340" s="20"/>
      <c r="FC340" s="20"/>
      <c r="FD340" s="20"/>
      <c r="FE340" s="20"/>
      <c r="FF340" s="20"/>
      <c r="FG340" s="20"/>
      <c r="FH340" s="20"/>
      <c r="FI340" s="20"/>
      <c r="FJ340" s="20"/>
      <c r="FK340" s="20"/>
      <c r="FL340" s="20"/>
      <c r="FM340" s="20"/>
      <c r="FN340" s="20"/>
      <c r="FO340" s="20"/>
      <c r="FP340" s="20"/>
      <c r="FQ340" s="20"/>
      <c r="FR340" s="20"/>
      <c r="FS340" s="20"/>
      <c r="FT340" s="20"/>
      <c r="FU340" s="20"/>
      <c r="FV340" s="20"/>
      <c r="FW340" s="20"/>
      <c r="FX340" s="20"/>
      <c r="FY340" s="20"/>
      <c r="FZ340" s="20"/>
      <c r="GA340" s="20"/>
      <c r="GB340" s="20"/>
      <c r="GC340" s="20"/>
      <c r="GD340" s="20"/>
      <c r="GE340" s="20"/>
      <c r="GF340" s="20"/>
      <c r="GG340" s="20"/>
      <c r="GH340" s="20"/>
      <c r="GI340" s="20"/>
      <c r="GJ340" s="20"/>
      <c r="GK340" s="20"/>
      <c r="GL340" s="20"/>
      <c r="GM340" s="20"/>
      <c r="GN340" s="20"/>
      <c r="GO340" s="20"/>
      <c r="GP340" s="20"/>
      <c r="GQ340" s="20"/>
      <c r="GR340" s="20"/>
      <c r="GS340" s="20"/>
      <c r="GT340" s="21"/>
      <c r="GU340" s="21"/>
      <c r="GV340" s="21"/>
      <c r="GW340" s="21"/>
      <c r="GX340" s="21"/>
      <c r="GY340" s="21"/>
      <c r="GZ340" s="21"/>
      <c r="HA340" s="21"/>
      <c r="HB340" s="21"/>
      <c r="HC340" s="21"/>
      <c r="HD340" s="21"/>
      <c r="HE340" s="21"/>
      <c r="HF340" s="21"/>
      <c r="HG340" s="21"/>
      <c r="HH340" s="21"/>
      <c r="HI340" s="21"/>
      <c r="HJ340" s="21"/>
      <c r="HK340" s="21"/>
      <c r="HL340" s="21"/>
      <c r="HM340" s="21"/>
      <c r="HN340" s="21"/>
      <c r="HO340" s="21"/>
      <c r="HP340" s="21"/>
      <c r="HQ340" s="21"/>
      <c r="HR340" s="21"/>
      <c r="HS340" s="21"/>
      <c r="HT340" s="21"/>
      <c r="HU340" s="21"/>
      <c r="HV340" s="21"/>
      <c r="HW340" s="21"/>
      <c r="HX340" s="21"/>
      <c r="HY340" s="21"/>
      <c r="HZ340" s="21"/>
      <c r="IA340" s="21"/>
      <c r="IB340" s="21"/>
      <c r="IC340" s="21"/>
      <c r="ID340" s="21"/>
      <c r="IE340" s="21"/>
      <c r="IF340" s="21"/>
      <c r="IG340" s="21"/>
      <c r="IH340" s="21"/>
      <c r="II340" s="21"/>
      <c r="IJ340" s="21"/>
      <c r="IK340" s="21"/>
      <c r="IL340" s="21"/>
      <c r="IM340" s="21"/>
      <c r="IN340" s="21"/>
      <c r="IO340" s="21"/>
      <c r="IP340" s="21"/>
      <c r="IQ340" s="21"/>
      <c r="IR340" s="21"/>
      <c r="IS340" s="21"/>
      <c r="IT340" s="21"/>
    </row>
    <row r="341" spans="1:254" s="3" customFormat="1" ht="27" customHeight="1">
      <c r="A341" s="11">
        <v>339</v>
      </c>
      <c r="B341" s="13" t="str">
        <f>"黎贤忠"</f>
        <v>黎贤忠</v>
      </c>
      <c r="C341" s="13" t="s">
        <v>25</v>
      </c>
      <c r="D341" s="13" t="str">
        <f>"230702205114"</f>
        <v>230702205114</v>
      </c>
      <c r="E341" s="18">
        <v>66.465</v>
      </c>
      <c r="F341" s="19" t="s">
        <v>10</v>
      </c>
      <c r="G341" s="19" t="s">
        <v>10</v>
      </c>
      <c r="H341" s="18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  <c r="CQ341" s="20"/>
      <c r="CR341" s="20"/>
      <c r="CS341" s="20"/>
      <c r="CT341" s="20"/>
      <c r="CU341" s="20"/>
      <c r="CV341" s="20"/>
      <c r="CW341" s="20"/>
      <c r="CX341" s="20"/>
      <c r="CY341" s="20"/>
      <c r="CZ341" s="20"/>
      <c r="DA341" s="20"/>
      <c r="DB341" s="20"/>
      <c r="DC341" s="20"/>
      <c r="DD341" s="20"/>
      <c r="DE341" s="20"/>
      <c r="DF341" s="20"/>
      <c r="DG341" s="20"/>
      <c r="DH341" s="20"/>
      <c r="DI341" s="20"/>
      <c r="DJ341" s="20"/>
      <c r="DK341" s="20"/>
      <c r="DL341" s="20"/>
      <c r="DM341" s="20"/>
      <c r="DN341" s="20"/>
      <c r="DO341" s="20"/>
      <c r="DP341" s="20"/>
      <c r="DQ341" s="20"/>
      <c r="DR341" s="20"/>
      <c r="DS341" s="20"/>
      <c r="DT341" s="20"/>
      <c r="DU341" s="20"/>
      <c r="DV341" s="20"/>
      <c r="DW341" s="20"/>
      <c r="DX341" s="20"/>
      <c r="DY341" s="20"/>
      <c r="DZ341" s="20"/>
      <c r="EA341" s="20"/>
      <c r="EB341" s="20"/>
      <c r="EC341" s="20"/>
      <c r="ED341" s="20"/>
      <c r="EE341" s="20"/>
      <c r="EF341" s="20"/>
      <c r="EG341" s="20"/>
      <c r="EH341" s="20"/>
      <c r="EI341" s="20"/>
      <c r="EJ341" s="20"/>
      <c r="EK341" s="20"/>
      <c r="EL341" s="20"/>
      <c r="EM341" s="20"/>
      <c r="EN341" s="20"/>
      <c r="EO341" s="20"/>
      <c r="EP341" s="20"/>
      <c r="EQ341" s="20"/>
      <c r="ER341" s="20"/>
      <c r="ES341" s="20"/>
      <c r="ET341" s="20"/>
      <c r="EU341" s="20"/>
      <c r="EV341" s="20"/>
      <c r="EW341" s="20"/>
      <c r="EX341" s="20"/>
      <c r="EY341" s="20"/>
      <c r="EZ341" s="20"/>
      <c r="FA341" s="20"/>
      <c r="FB341" s="20"/>
      <c r="FC341" s="20"/>
      <c r="FD341" s="20"/>
      <c r="FE341" s="20"/>
      <c r="FF341" s="20"/>
      <c r="FG341" s="20"/>
      <c r="FH341" s="20"/>
      <c r="FI341" s="20"/>
      <c r="FJ341" s="20"/>
      <c r="FK341" s="20"/>
      <c r="FL341" s="20"/>
      <c r="FM341" s="20"/>
      <c r="FN341" s="20"/>
      <c r="FO341" s="20"/>
      <c r="FP341" s="20"/>
      <c r="FQ341" s="20"/>
      <c r="FR341" s="20"/>
      <c r="FS341" s="20"/>
      <c r="FT341" s="20"/>
      <c r="FU341" s="20"/>
      <c r="FV341" s="20"/>
      <c r="FW341" s="20"/>
      <c r="FX341" s="20"/>
      <c r="FY341" s="20"/>
      <c r="FZ341" s="20"/>
      <c r="GA341" s="20"/>
      <c r="GB341" s="20"/>
      <c r="GC341" s="20"/>
      <c r="GD341" s="20"/>
      <c r="GE341" s="20"/>
      <c r="GF341" s="20"/>
      <c r="GG341" s="20"/>
      <c r="GH341" s="20"/>
      <c r="GI341" s="20"/>
      <c r="GJ341" s="20"/>
      <c r="GK341" s="20"/>
      <c r="GL341" s="20"/>
      <c r="GM341" s="20"/>
      <c r="GN341" s="20"/>
      <c r="GO341" s="20"/>
      <c r="GP341" s="20"/>
      <c r="GQ341" s="20"/>
      <c r="GR341" s="20"/>
      <c r="GS341" s="20"/>
      <c r="GT341" s="21"/>
      <c r="GU341" s="21"/>
      <c r="GV341" s="21"/>
      <c r="GW341" s="21"/>
      <c r="GX341" s="21"/>
      <c r="GY341" s="21"/>
      <c r="GZ341" s="21"/>
      <c r="HA341" s="21"/>
      <c r="HB341" s="21"/>
      <c r="HC341" s="21"/>
      <c r="HD341" s="21"/>
      <c r="HE341" s="21"/>
      <c r="HF341" s="21"/>
      <c r="HG341" s="21"/>
      <c r="HH341" s="21"/>
      <c r="HI341" s="21"/>
      <c r="HJ341" s="21"/>
      <c r="HK341" s="21"/>
      <c r="HL341" s="21"/>
      <c r="HM341" s="21"/>
      <c r="HN341" s="21"/>
      <c r="HO341" s="21"/>
      <c r="HP341" s="21"/>
      <c r="HQ341" s="21"/>
      <c r="HR341" s="21"/>
      <c r="HS341" s="21"/>
      <c r="HT341" s="21"/>
      <c r="HU341" s="21"/>
      <c r="HV341" s="21"/>
      <c r="HW341" s="21"/>
      <c r="HX341" s="21"/>
      <c r="HY341" s="21"/>
      <c r="HZ341" s="21"/>
      <c r="IA341" s="21"/>
      <c r="IB341" s="21"/>
      <c r="IC341" s="21"/>
      <c r="ID341" s="21"/>
      <c r="IE341" s="21"/>
      <c r="IF341" s="21"/>
      <c r="IG341" s="21"/>
      <c r="IH341" s="21"/>
      <c r="II341" s="21"/>
      <c r="IJ341" s="21"/>
      <c r="IK341" s="21"/>
      <c r="IL341" s="21"/>
      <c r="IM341" s="21"/>
      <c r="IN341" s="21"/>
      <c r="IO341" s="21"/>
      <c r="IP341" s="21"/>
      <c r="IQ341" s="21"/>
      <c r="IR341" s="21"/>
      <c r="IS341" s="21"/>
      <c r="IT341" s="21"/>
    </row>
    <row r="342" spans="1:254" s="3" customFormat="1" ht="27" customHeight="1">
      <c r="A342" s="11">
        <v>340</v>
      </c>
      <c r="B342" s="13" t="str">
        <f>"林杰濠"</f>
        <v>林杰濠</v>
      </c>
      <c r="C342" s="13" t="s">
        <v>25</v>
      </c>
      <c r="D342" s="13" t="str">
        <f>"230702205220"</f>
        <v>230702205220</v>
      </c>
      <c r="E342" s="18">
        <v>65.685</v>
      </c>
      <c r="F342" s="19" t="s">
        <v>10</v>
      </c>
      <c r="G342" s="19" t="s">
        <v>10</v>
      </c>
      <c r="H342" s="18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  <c r="CQ342" s="20"/>
      <c r="CR342" s="20"/>
      <c r="CS342" s="20"/>
      <c r="CT342" s="20"/>
      <c r="CU342" s="20"/>
      <c r="CV342" s="20"/>
      <c r="CW342" s="20"/>
      <c r="CX342" s="20"/>
      <c r="CY342" s="20"/>
      <c r="CZ342" s="20"/>
      <c r="DA342" s="20"/>
      <c r="DB342" s="20"/>
      <c r="DC342" s="20"/>
      <c r="DD342" s="20"/>
      <c r="DE342" s="20"/>
      <c r="DF342" s="20"/>
      <c r="DG342" s="20"/>
      <c r="DH342" s="20"/>
      <c r="DI342" s="20"/>
      <c r="DJ342" s="20"/>
      <c r="DK342" s="20"/>
      <c r="DL342" s="20"/>
      <c r="DM342" s="20"/>
      <c r="DN342" s="20"/>
      <c r="DO342" s="20"/>
      <c r="DP342" s="20"/>
      <c r="DQ342" s="20"/>
      <c r="DR342" s="20"/>
      <c r="DS342" s="20"/>
      <c r="DT342" s="20"/>
      <c r="DU342" s="20"/>
      <c r="DV342" s="20"/>
      <c r="DW342" s="20"/>
      <c r="DX342" s="20"/>
      <c r="DY342" s="20"/>
      <c r="DZ342" s="20"/>
      <c r="EA342" s="20"/>
      <c r="EB342" s="20"/>
      <c r="EC342" s="20"/>
      <c r="ED342" s="20"/>
      <c r="EE342" s="20"/>
      <c r="EF342" s="20"/>
      <c r="EG342" s="20"/>
      <c r="EH342" s="20"/>
      <c r="EI342" s="20"/>
      <c r="EJ342" s="20"/>
      <c r="EK342" s="20"/>
      <c r="EL342" s="20"/>
      <c r="EM342" s="20"/>
      <c r="EN342" s="20"/>
      <c r="EO342" s="20"/>
      <c r="EP342" s="20"/>
      <c r="EQ342" s="20"/>
      <c r="ER342" s="20"/>
      <c r="ES342" s="20"/>
      <c r="ET342" s="20"/>
      <c r="EU342" s="20"/>
      <c r="EV342" s="20"/>
      <c r="EW342" s="20"/>
      <c r="EX342" s="20"/>
      <c r="EY342" s="20"/>
      <c r="EZ342" s="20"/>
      <c r="FA342" s="20"/>
      <c r="FB342" s="20"/>
      <c r="FC342" s="20"/>
      <c r="FD342" s="20"/>
      <c r="FE342" s="20"/>
      <c r="FF342" s="20"/>
      <c r="FG342" s="20"/>
      <c r="FH342" s="20"/>
      <c r="FI342" s="20"/>
      <c r="FJ342" s="20"/>
      <c r="FK342" s="20"/>
      <c r="FL342" s="20"/>
      <c r="FM342" s="20"/>
      <c r="FN342" s="20"/>
      <c r="FO342" s="20"/>
      <c r="FP342" s="20"/>
      <c r="FQ342" s="20"/>
      <c r="FR342" s="20"/>
      <c r="FS342" s="20"/>
      <c r="FT342" s="20"/>
      <c r="FU342" s="20"/>
      <c r="FV342" s="20"/>
      <c r="FW342" s="20"/>
      <c r="FX342" s="20"/>
      <c r="FY342" s="20"/>
      <c r="FZ342" s="20"/>
      <c r="GA342" s="20"/>
      <c r="GB342" s="20"/>
      <c r="GC342" s="20"/>
      <c r="GD342" s="20"/>
      <c r="GE342" s="20"/>
      <c r="GF342" s="20"/>
      <c r="GG342" s="20"/>
      <c r="GH342" s="20"/>
      <c r="GI342" s="20"/>
      <c r="GJ342" s="20"/>
      <c r="GK342" s="20"/>
      <c r="GL342" s="20"/>
      <c r="GM342" s="20"/>
      <c r="GN342" s="20"/>
      <c r="GO342" s="20"/>
      <c r="GP342" s="20"/>
      <c r="GQ342" s="20"/>
      <c r="GR342" s="20"/>
      <c r="GS342" s="20"/>
      <c r="GT342" s="21"/>
      <c r="GU342" s="21"/>
      <c r="GV342" s="21"/>
      <c r="GW342" s="21"/>
      <c r="GX342" s="21"/>
      <c r="GY342" s="21"/>
      <c r="GZ342" s="21"/>
      <c r="HA342" s="21"/>
      <c r="HB342" s="21"/>
      <c r="HC342" s="21"/>
      <c r="HD342" s="21"/>
      <c r="HE342" s="21"/>
      <c r="HF342" s="21"/>
      <c r="HG342" s="21"/>
      <c r="HH342" s="21"/>
      <c r="HI342" s="21"/>
      <c r="HJ342" s="21"/>
      <c r="HK342" s="21"/>
      <c r="HL342" s="21"/>
      <c r="HM342" s="21"/>
      <c r="HN342" s="21"/>
      <c r="HO342" s="21"/>
      <c r="HP342" s="21"/>
      <c r="HQ342" s="21"/>
      <c r="HR342" s="21"/>
      <c r="HS342" s="21"/>
      <c r="HT342" s="21"/>
      <c r="HU342" s="21"/>
      <c r="HV342" s="21"/>
      <c r="HW342" s="21"/>
      <c r="HX342" s="21"/>
      <c r="HY342" s="21"/>
      <c r="HZ342" s="21"/>
      <c r="IA342" s="21"/>
      <c r="IB342" s="21"/>
      <c r="IC342" s="21"/>
      <c r="ID342" s="21"/>
      <c r="IE342" s="21"/>
      <c r="IF342" s="21"/>
      <c r="IG342" s="21"/>
      <c r="IH342" s="21"/>
      <c r="II342" s="21"/>
      <c r="IJ342" s="21"/>
      <c r="IK342" s="21"/>
      <c r="IL342" s="21"/>
      <c r="IM342" s="21"/>
      <c r="IN342" s="21"/>
      <c r="IO342" s="21"/>
      <c r="IP342" s="21"/>
      <c r="IQ342" s="21"/>
      <c r="IR342" s="21"/>
      <c r="IS342" s="21"/>
      <c r="IT342" s="21"/>
    </row>
    <row r="343" spans="1:254" s="3" customFormat="1" ht="27" customHeight="1">
      <c r="A343" s="11">
        <v>341</v>
      </c>
      <c r="B343" s="13" t="str">
        <f>"林彦潮"</f>
        <v>林彦潮</v>
      </c>
      <c r="C343" s="13" t="s">
        <v>25</v>
      </c>
      <c r="D343" s="13" t="str">
        <f>"230702204924"</f>
        <v>230702204924</v>
      </c>
      <c r="E343" s="18">
        <v>65.11500000000001</v>
      </c>
      <c r="F343" s="19" t="s">
        <v>10</v>
      </c>
      <c r="G343" s="19" t="s">
        <v>10</v>
      </c>
      <c r="H343" s="18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  <c r="CQ343" s="20"/>
      <c r="CR343" s="20"/>
      <c r="CS343" s="20"/>
      <c r="CT343" s="20"/>
      <c r="CU343" s="20"/>
      <c r="CV343" s="20"/>
      <c r="CW343" s="20"/>
      <c r="CX343" s="20"/>
      <c r="CY343" s="20"/>
      <c r="CZ343" s="20"/>
      <c r="DA343" s="20"/>
      <c r="DB343" s="20"/>
      <c r="DC343" s="20"/>
      <c r="DD343" s="20"/>
      <c r="DE343" s="20"/>
      <c r="DF343" s="20"/>
      <c r="DG343" s="20"/>
      <c r="DH343" s="20"/>
      <c r="DI343" s="20"/>
      <c r="DJ343" s="20"/>
      <c r="DK343" s="20"/>
      <c r="DL343" s="20"/>
      <c r="DM343" s="20"/>
      <c r="DN343" s="20"/>
      <c r="DO343" s="20"/>
      <c r="DP343" s="20"/>
      <c r="DQ343" s="20"/>
      <c r="DR343" s="20"/>
      <c r="DS343" s="20"/>
      <c r="DT343" s="20"/>
      <c r="DU343" s="20"/>
      <c r="DV343" s="20"/>
      <c r="DW343" s="20"/>
      <c r="DX343" s="20"/>
      <c r="DY343" s="20"/>
      <c r="DZ343" s="20"/>
      <c r="EA343" s="20"/>
      <c r="EB343" s="20"/>
      <c r="EC343" s="20"/>
      <c r="ED343" s="20"/>
      <c r="EE343" s="20"/>
      <c r="EF343" s="20"/>
      <c r="EG343" s="20"/>
      <c r="EH343" s="20"/>
      <c r="EI343" s="20"/>
      <c r="EJ343" s="20"/>
      <c r="EK343" s="20"/>
      <c r="EL343" s="20"/>
      <c r="EM343" s="20"/>
      <c r="EN343" s="20"/>
      <c r="EO343" s="20"/>
      <c r="EP343" s="20"/>
      <c r="EQ343" s="20"/>
      <c r="ER343" s="20"/>
      <c r="ES343" s="20"/>
      <c r="ET343" s="20"/>
      <c r="EU343" s="20"/>
      <c r="EV343" s="20"/>
      <c r="EW343" s="20"/>
      <c r="EX343" s="20"/>
      <c r="EY343" s="20"/>
      <c r="EZ343" s="20"/>
      <c r="FA343" s="20"/>
      <c r="FB343" s="20"/>
      <c r="FC343" s="20"/>
      <c r="FD343" s="20"/>
      <c r="FE343" s="20"/>
      <c r="FF343" s="20"/>
      <c r="FG343" s="20"/>
      <c r="FH343" s="20"/>
      <c r="FI343" s="20"/>
      <c r="FJ343" s="20"/>
      <c r="FK343" s="20"/>
      <c r="FL343" s="20"/>
      <c r="FM343" s="20"/>
      <c r="FN343" s="20"/>
      <c r="FO343" s="20"/>
      <c r="FP343" s="20"/>
      <c r="FQ343" s="20"/>
      <c r="FR343" s="20"/>
      <c r="FS343" s="20"/>
      <c r="FT343" s="20"/>
      <c r="FU343" s="20"/>
      <c r="FV343" s="20"/>
      <c r="FW343" s="20"/>
      <c r="FX343" s="20"/>
      <c r="FY343" s="20"/>
      <c r="FZ343" s="20"/>
      <c r="GA343" s="20"/>
      <c r="GB343" s="20"/>
      <c r="GC343" s="20"/>
      <c r="GD343" s="20"/>
      <c r="GE343" s="20"/>
      <c r="GF343" s="20"/>
      <c r="GG343" s="20"/>
      <c r="GH343" s="20"/>
      <c r="GI343" s="20"/>
      <c r="GJ343" s="20"/>
      <c r="GK343" s="20"/>
      <c r="GL343" s="20"/>
      <c r="GM343" s="20"/>
      <c r="GN343" s="20"/>
      <c r="GO343" s="20"/>
      <c r="GP343" s="20"/>
      <c r="GQ343" s="20"/>
      <c r="GR343" s="20"/>
      <c r="GS343" s="20"/>
      <c r="GT343" s="21"/>
      <c r="GU343" s="21"/>
      <c r="GV343" s="21"/>
      <c r="GW343" s="21"/>
      <c r="GX343" s="21"/>
      <c r="GY343" s="21"/>
      <c r="GZ343" s="21"/>
      <c r="HA343" s="21"/>
      <c r="HB343" s="21"/>
      <c r="HC343" s="21"/>
      <c r="HD343" s="21"/>
      <c r="HE343" s="21"/>
      <c r="HF343" s="21"/>
      <c r="HG343" s="21"/>
      <c r="HH343" s="21"/>
      <c r="HI343" s="21"/>
      <c r="HJ343" s="21"/>
      <c r="HK343" s="21"/>
      <c r="HL343" s="21"/>
      <c r="HM343" s="21"/>
      <c r="HN343" s="21"/>
      <c r="HO343" s="21"/>
      <c r="HP343" s="21"/>
      <c r="HQ343" s="21"/>
      <c r="HR343" s="21"/>
      <c r="HS343" s="21"/>
      <c r="HT343" s="21"/>
      <c r="HU343" s="21"/>
      <c r="HV343" s="21"/>
      <c r="HW343" s="21"/>
      <c r="HX343" s="21"/>
      <c r="HY343" s="21"/>
      <c r="HZ343" s="21"/>
      <c r="IA343" s="21"/>
      <c r="IB343" s="21"/>
      <c r="IC343" s="21"/>
      <c r="ID343" s="21"/>
      <c r="IE343" s="21"/>
      <c r="IF343" s="21"/>
      <c r="IG343" s="21"/>
      <c r="IH343" s="21"/>
      <c r="II343" s="21"/>
      <c r="IJ343" s="21"/>
      <c r="IK343" s="21"/>
      <c r="IL343" s="21"/>
      <c r="IM343" s="21"/>
      <c r="IN343" s="21"/>
      <c r="IO343" s="21"/>
      <c r="IP343" s="21"/>
      <c r="IQ343" s="21"/>
      <c r="IR343" s="21"/>
      <c r="IS343" s="21"/>
      <c r="IT343" s="21"/>
    </row>
    <row r="344" spans="1:254" s="3" customFormat="1" ht="27" customHeight="1">
      <c r="A344" s="11">
        <v>342</v>
      </c>
      <c r="B344" s="13" t="str">
        <f>"吕炳宗"</f>
        <v>吕炳宗</v>
      </c>
      <c r="C344" s="13" t="s">
        <v>26</v>
      </c>
      <c r="D344" s="13" t="str">
        <f>"230702205402"</f>
        <v>230702205402</v>
      </c>
      <c r="E344" s="18">
        <v>64.715</v>
      </c>
      <c r="F344" s="19" t="s">
        <v>10</v>
      </c>
      <c r="G344" s="19" t="s">
        <v>10</v>
      </c>
      <c r="H344" s="18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  <c r="CQ344" s="20"/>
      <c r="CR344" s="20"/>
      <c r="CS344" s="20"/>
      <c r="CT344" s="20"/>
      <c r="CU344" s="20"/>
      <c r="CV344" s="20"/>
      <c r="CW344" s="20"/>
      <c r="CX344" s="20"/>
      <c r="CY344" s="20"/>
      <c r="CZ344" s="20"/>
      <c r="DA344" s="20"/>
      <c r="DB344" s="20"/>
      <c r="DC344" s="20"/>
      <c r="DD344" s="20"/>
      <c r="DE344" s="20"/>
      <c r="DF344" s="20"/>
      <c r="DG344" s="20"/>
      <c r="DH344" s="20"/>
      <c r="DI344" s="20"/>
      <c r="DJ344" s="20"/>
      <c r="DK344" s="20"/>
      <c r="DL344" s="20"/>
      <c r="DM344" s="20"/>
      <c r="DN344" s="20"/>
      <c r="DO344" s="20"/>
      <c r="DP344" s="20"/>
      <c r="DQ344" s="20"/>
      <c r="DR344" s="20"/>
      <c r="DS344" s="20"/>
      <c r="DT344" s="20"/>
      <c r="DU344" s="20"/>
      <c r="DV344" s="20"/>
      <c r="DW344" s="20"/>
      <c r="DX344" s="20"/>
      <c r="DY344" s="20"/>
      <c r="DZ344" s="20"/>
      <c r="EA344" s="20"/>
      <c r="EB344" s="20"/>
      <c r="EC344" s="20"/>
      <c r="ED344" s="20"/>
      <c r="EE344" s="20"/>
      <c r="EF344" s="20"/>
      <c r="EG344" s="20"/>
      <c r="EH344" s="20"/>
      <c r="EI344" s="20"/>
      <c r="EJ344" s="20"/>
      <c r="EK344" s="20"/>
      <c r="EL344" s="20"/>
      <c r="EM344" s="20"/>
      <c r="EN344" s="20"/>
      <c r="EO344" s="20"/>
      <c r="EP344" s="20"/>
      <c r="EQ344" s="20"/>
      <c r="ER344" s="20"/>
      <c r="ES344" s="20"/>
      <c r="ET344" s="20"/>
      <c r="EU344" s="20"/>
      <c r="EV344" s="20"/>
      <c r="EW344" s="20"/>
      <c r="EX344" s="20"/>
      <c r="EY344" s="20"/>
      <c r="EZ344" s="20"/>
      <c r="FA344" s="20"/>
      <c r="FB344" s="20"/>
      <c r="FC344" s="20"/>
      <c r="FD344" s="20"/>
      <c r="FE344" s="20"/>
      <c r="FF344" s="20"/>
      <c r="FG344" s="20"/>
      <c r="FH344" s="20"/>
      <c r="FI344" s="20"/>
      <c r="FJ344" s="20"/>
      <c r="FK344" s="20"/>
      <c r="FL344" s="20"/>
      <c r="FM344" s="20"/>
      <c r="FN344" s="20"/>
      <c r="FO344" s="20"/>
      <c r="FP344" s="20"/>
      <c r="FQ344" s="20"/>
      <c r="FR344" s="20"/>
      <c r="FS344" s="20"/>
      <c r="FT344" s="20"/>
      <c r="FU344" s="20"/>
      <c r="FV344" s="20"/>
      <c r="FW344" s="20"/>
      <c r="FX344" s="20"/>
      <c r="FY344" s="20"/>
      <c r="FZ344" s="20"/>
      <c r="GA344" s="20"/>
      <c r="GB344" s="20"/>
      <c r="GC344" s="20"/>
      <c r="GD344" s="20"/>
      <c r="GE344" s="20"/>
      <c r="GF344" s="20"/>
      <c r="GG344" s="20"/>
      <c r="GH344" s="20"/>
      <c r="GI344" s="20"/>
      <c r="GJ344" s="20"/>
      <c r="GK344" s="20"/>
      <c r="GL344" s="20"/>
      <c r="GM344" s="20"/>
      <c r="GN344" s="20"/>
      <c r="GO344" s="20"/>
      <c r="GP344" s="20"/>
      <c r="GQ344" s="20"/>
      <c r="GR344" s="20"/>
      <c r="GS344" s="20"/>
      <c r="GT344" s="21"/>
      <c r="GU344" s="21"/>
      <c r="GV344" s="21"/>
      <c r="GW344" s="21"/>
      <c r="GX344" s="21"/>
      <c r="GY344" s="21"/>
      <c r="GZ344" s="21"/>
      <c r="HA344" s="21"/>
      <c r="HB344" s="21"/>
      <c r="HC344" s="21"/>
      <c r="HD344" s="21"/>
      <c r="HE344" s="21"/>
      <c r="HF344" s="21"/>
      <c r="HG344" s="21"/>
      <c r="HH344" s="21"/>
      <c r="HI344" s="21"/>
      <c r="HJ344" s="21"/>
      <c r="HK344" s="21"/>
      <c r="HL344" s="21"/>
      <c r="HM344" s="21"/>
      <c r="HN344" s="21"/>
      <c r="HO344" s="21"/>
      <c r="HP344" s="21"/>
      <c r="HQ344" s="21"/>
      <c r="HR344" s="21"/>
      <c r="HS344" s="21"/>
      <c r="HT344" s="21"/>
      <c r="HU344" s="21"/>
      <c r="HV344" s="21"/>
      <c r="HW344" s="21"/>
      <c r="HX344" s="21"/>
      <c r="HY344" s="21"/>
      <c r="HZ344" s="21"/>
      <c r="IA344" s="21"/>
      <c r="IB344" s="21"/>
      <c r="IC344" s="21"/>
      <c r="ID344" s="21"/>
      <c r="IE344" s="21"/>
      <c r="IF344" s="21"/>
      <c r="IG344" s="21"/>
      <c r="IH344" s="21"/>
      <c r="II344" s="21"/>
      <c r="IJ344" s="21"/>
      <c r="IK344" s="21"/>
      <c r="IL344" s="21"/>
      <c r="IM344" s="21"/>
      <c r="IN344" s="21"/>
      <c r="IO344" s="21"/>
      <c r="IP344" s="21"/>
      <c r="IQ344" s="21"/>
      <c r="IR344" s="21"/>
      <c r="IS344" s="21"/>
      <c r="IT344" s="21"/>
    </row>
    <row r="345" spans="1:254" s="3" customFormat="1" ht="27" customHeight="1">
      <c r="A345" s="11">
        <v>343</v>
      </c>
      <c r="B345" s="13" t="str">
        <f>"符珑瀚"</f>
        <v>符珑瀚</v>
      </c>
      <c r="C345" s="13" t="s">
        <v>26</v>
      </c>
      <c r="D345" s="13" t="str">
        <f>"230702205302"</f>
        <v>230702205302</v>
      </c>
      <c r="E345" s="18">
        <v>63.465</v>
      </c>
      <c r="F345" s="19" t="s">
        <v>10</v>
      </c>
      <c r="G345" s="19" t="s">
        <v>10</v>
      </c>
      <c r="H345" s="18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  <c r="CQ345" s="20"/>
      <c r="CR345" s="20"/>
      <c r="CS345" s="20"/>
      <c r="CT345" s="20"/>
      <c r="CU345" s="20"/>
      <c r="CV345" s="20"/>
      <c r="CW345" s="20"/>
      <c r="CX345" s="20"/>
      <c r="CY345" s="20"/>
      <c r="CZ345" s="20"/>
      <c r="DA345" s="20"/>
      <c r="DB345" s="20"/>
      <c r="DC345" s="20"/>
      <c r="DD345" s="20"/>
      <c r="DE345" s="20"/>
      <c r="DF345" s="20"/>
      <c r="DG345" s="20"/>
      <c r="DH345" s="20"/>
      <c r="DI345" s="20"/>
      <c r="DJ345" s="20"/>
      <c r="DK345" s="20"/>
      <c r="DL345" s="20"/>
      <c r="DM345" s="20"/>
      <c r="DN345" s="20"/>
      <c r="DO345" s="20"/>
      <c r="DP345" s="20"/>
      <c r="DQ345" s="20"/>
      <c r="DR345" s="20"/>
      <c r="DS345" s="20"/>
      <c r="DT345" s="20"/>
      <c r="DU345" s="20"/>
      <c r="DV345" s="20"/>
      <c r="DW345" s="20"/>
      <c r="DX345" s="20"/>
      <c r="DY345" s="20"/>
      <c r="DZ345" s="20"/>
      <c r="EA345" s="20"/>
      <c r="EB345" s="20"/>
      <c r="EC345" s="20"/>
      <c r="ED345" s="20"/>
      <c r="EE345" s="20"/>
      <c r="EF345" s="20"/>
      <c r="EG345" s="20"/>
      <c r="EH345" s="20"/>
      <c r="EI345" s="20"/>
      <c r="EJ345" s="20"/>
      <c r="EK345" s="20"/>
      <c r="EL345" s="20"/>
      <c r="EM345" s="20"/>
      <c r="EN345" s="20"/>
      <c r="EO345" s="20"/>
      <c r="EP345" s="20"/>
      <c r="EQ345" s="20"/>
      <c r="ER345" s="20"/>
      <c r="ES345" s="20"/>
      <c r="ET345" s="20"/>
      <c r="EU345" s="20"/>
      <c r="EV345" s="20"/>
      <c r="EW345" s="20"/>
      <c r="EX345" s="20"/>
      <c r="EY345" s="20"/>
      <c r="EZ345" s="20"/>
      <c r="FA345" s="20"/>
      <c r="FB345" s="20"/>
      <c r="FC345" s="20"/>
      <c r="FD345" s="20"/>
      <c r="FE345" s="20"/>
      <c r="FF345" s="20"/>
      <c r="FG345" s="20"/>
      <c r="FH345" s="20"/>
      <c r="FI345" s="20"/>
      <c r="FJ345" s="20"/>
      <c r="FK345" s="20"/>
      <c r="FL345" s="20"/>
      <c r="FM345" s="20"/>
      <c r="FN345" s="20"/>
      <c r="FO345" s="20"/>
      <c r="FP345" s="20"/>
      <c r="FQ345" s="20"/>
      <c r="FR345" s="20"/>
      <c r="FS345" s="20"/>
      <c r="FT345" s="20"/>
      <c r="FU345" s="20"/>
      <c r="FV345" s="20"/>
      <c r="FW345" s="20"/>
      <c r="FX345" s="20"/>
      <c r="FY345" s="20"/>
      <c r="FZ345" s="20"/>
      <c r="GA345" s="20"/>
      <c r="GB345" s="20"/>
      <c r="GC345" s="20"/>
      <c r="GD345" s="20"/>
      <c r="GE345" s="20"/>
      <c r="GF345" s="20"/>
      <c r="GG345" s="20"/>
      <c r="GH345" s="20"/>
      <c r="GI345" s="20"/>
      <c r="GJ345" s="20"/>
      <c r="GK345" s="20"/>
      <c r="GL345" s="20"/>
      <c r="GM345" s="20"/>
      <c r="GN345" s="20"/>
      <c r="GO345" s="20"/>
      <c r="GP345" s="20"/>
      <c r="GQ345" s="20"/>
      <c r="GR345" s="20"/>
      <c r="GS345" s="20"/>
      <c r="GT345" s="21"/>
      <c r="GU345" s="21"/>
      <c r="GV345" s="21"/>
      <c r="GW345" s="21"/>
      <c r="GX345" s="21"/>
      <c r="GY345" s="21"/>
      <c r="GZ345" s="21"/>
      <c r="HA345" s="21"/>
      <c r="HB345" s="21"/>
      <c r="HC345" s="21"/>
      <c r="HD345" s="21"/>
      <c r="HE345" s="21"/>
      <c r="HF345" s="21"/>
      <c r="HG345" s="21"/>
      <c r="HH345" s="21"/>
      <c r="HI345" s="21"/>
      <c r="HJ345" s="21"/>
      <c r="HK345" s="21"/>
      <c r="HL345" s="21"/>
      <c r="HM345" s="21"/>
      <c r="HN345" s="21"/>
      <c r="HO345" s="21"/>
      <c r="HP345" s="21"/>
      <c r="HQ345" s="21"/>
      <c r="HR345" s="21"/>
      <c r="HS345" s="21"/>
      <c r="HT345" s="21"/>
      <c r="HU345" s="21"/>
      <c r="HV345" s="21"/>
      <c r="HW345" s="21"/>
      <c r="HX345" s="21"/>
      <c r="HY345" s="21"/>
      <c r="HZ345" s="21"/>
      <c r="IA345" s="21"/>
      <c r="IB345" s="21"/>
      <c r="IC345" s="21"/>
      <c r="ID345" s="21"/>
      <c r="IE345" s="21"/>
      <c r="IF345" s="21"/>
      <c r="IG345" s="21"/>
      <c r="IH345" s="21"/>
      <c r="II345" s="21"/>
      <c r="IJ345" s="21"/>
      <c r="IK345" s="21"/>
      <c r="IL345" s="21"/>
      <c r="IM345" s="21"/>
      <c r="IN345" s="21"/>
      <c r="IO345" s="21"/>
      <c r="IP345" s="21"/>
      <c r="IQ345" s="21"/>
      <c r="IR345" s="21"/>
      <c r="IS345" s="21"/>
      <c r="IT345" s="21"/>
    </row>
    <row r="346" spans="1:254" s="3" customFormat="1" ht="27" customHeight="1">
      <c r="A346" s="11">
        <v>344</v>
      </c>
      <c r="B346" s="13" t="str">
        <f>"吴彪"</f>
        <v>吴彪</v>
      </c>
      <c r="C346" s="13" t="s">
        <v>27</v>
      </c>
      <c r="D346" s="13" t="str">
        <f>"230702205919"</f>
        <v>230702205919</v>
      </c>
      <c r="E346" s="18">
        <v>68.88499999999999</v>
      </c>
      <c r="F346" s="19" t="s">
        <v>10</v>
      </c>
      <c r="G346" s="19" t="s">
        <v>10</v>
      </c>
      <c r="H346" s="18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0"/>
      <c r="CP346" s="20"/>
      <c r="CQ346" s="20"/>
      <c r="CR346" s="20"/>
      <c r="CS346" s="20"/>
      <c r="CT346" s="20"/>
      <c r="CU346" s="20"/>
      <c r="CV346" s="20"/>
      <c r="CW346" s="20"/>
      <c r="CX346" s="20"/>
      <c r="CY346" s="20"/>
      <c r="CZ346" s="20"/>
      <c r="DA346" s="20"/>
      <c r="DB346" s="20"/>
      <c r="DC346" s="20"/>
      <c r="DD346" s="20"/>
      <c r="DE346" s="20"/>
      <c r="DF346" s="20"/>
      <c r="DG346" s="20"/>
      <c r="DH346" s="20"/>
      <c r="DI346" s="20"/>
      <c r="DJ346" s="20"/>
      <c r="DK346" s="20"/>
      <c r="DL346" s="20"/>
      <c r="DM346" s="20"/>
      <c r="DN346" s="20"/>
      <c r="DO346" s="20"/>
      <c r="DP346" s="20"/>
      <c r="DQ346" s="20"/>
      <c r="DR346" s="20"/>
      <c r="DS346" s="20"/>
      <c r="DT346" s="20"/>
      <c r="DU346" s="20"/>
      <c r="DV346" s="20"/>
      <c r="DW346" s="20"/>
      <c r="DX346" s="20"/>
      <c r="DY346" s="20"/>
      <c r="DZ346" s="20"/>
      <c r="EA346" s="20"/>
      <c r="EB346" s="20"/>
      <c r="EC346" s="20"/>
      <c r="ED346" s="20"/>
      <c r="EE346" s="20"/>
      <c r="EF346" s="20"/>
      <c r="EG346" s="20"/>
      <c r="EH346" s="20"/>
      <c r="EI346" s="20"/>
      <c r="EJ346" s="20"/>
      <c r="EK346" s="20"/>
      <c r="EL346" s="20"/>
      <c r="EM346" s="20"/>
      <c r="EN346" s="20"/>
      <c r="EO346" s="20"/>
      <c r="EP346" s="20"/>
      <c r="EQ346" s="20"/>
      <c r="ER346" s="20"/>
      <c r="ES346" s="20"/>
      <c r="ET346" s="20"/>
      <c r="EU346" s="20"/>
      <c r="EV346" s="20"/>
      <c r="EW346" s="20"/>
      <c r="EX346" s="20"/>
      <c r="EY346" s="20"/>
      <c r="EZ346" s="20"/>
      <c r="FA346" s="20"/>
      <c r="FB346" s="20"/>
      <c r="FC346" s="20"/>
      <c r="FD346" s="20"/>
      <c r="FE346" s="20"/>
      <c r="FF346" s="20"/>
      <c r="FG346" s="20"/>
      <c r="FH346" s="20"/>
      <c r="FI346" s="20"/>
      <c r="FJ346" s="20"/>
      <c r="FK346" s="20"/>
      <c r="FL346" s="20"/>
      <c r="FM346" s="20"/>
      <c r="FN346" s="20"/>
      <c r="FO346" s="20"/>
      <c r="FP346" s="20"/>
      <c r="FQ346" s="20"/>
      <c r="FR346" s="20"/>
      <c r="FS346" s="20"/>
      <c r="FT346" s="20"/>
      <c r="FU346" s="20"/>
      <c r="FV346" s="20"/>
      <c r="FW346" s="20"/>
      <c r="FX346" s="20"/>
      <c r="FY346" s="20"/>
      <c r="FZ346" s="20"/>
      <c r="GA346" s="20"/>
      <c r="GB346" s="20"/>
      <c r="GC346" s="20"/>
      <c r="GD346" s="20"/>
      <c r="GE346" s="20"/>
      <c r="GF346" s="20"/>
      <c r="GG346" s="20"/>
      <c r="GH346" s="20"/>
      <c r="GI346" s="20"/>
      <c r="GJ346" s="20"/>
      <c r="GK346" s="20"/>
      <c r="GL346" s="20"/>
      <c r="GM346" s="20"/>
      <c r="GN346" s="20"/>
      <c r="GO346" s="20"/>
      <c r="GP346" s="20"/>
      <c r="GQ346" s="20"/>
      <c r="GR346" s="20"/>
      <c r="GS346" s="20"/>
      <c r="GT346" s="21"/>
      <c r="GU346" s="21"/>
      <c r="GV346" s="21"/>
      <c r="GW346" s="21"/>
      <c r="GX346" s="21"/>
      <c r="GY346" s="21"/>
      <c r="GZ346" s="21"/>
      <c r="HA346" s="21"/>
      <c r="HB346" s="21"/>
      <c r="HC346" s="21"/>
      <c r="HD346" s="21"/>
      <c r="HE346" s="21"/>
      <c r="HF346" s="21"/>
      <c r="HG346" s="21"/>
      <c r="HH346" s="21"/>
      <c r="HI346" s="21"/>
      <c r="HJ346" s="21"/>
      <c r="HK346" s="21"/>
      <c r="HL346" s="21"/>
      <c r="HM346" s="21"/>
      <c r="HN346" s="21"/>
      <c r="HO346" s="21"/>
      <c r="HP346" s="21"/>
      <c r="HQ346" s="21"/>
      <c r="HR346" s="21"/>
      <c r="HS346" s="21"/>
      <c r="HT346" s="21"/>
      <c r="HU346" s="21"/>
      <c r="HV346" s="21"/>
      <c r="HW346" s="21"/>
      <c r="HX346" s="21"/>
      <c r="HY346" s="21"/>
      <c r="HZ346" s="21"/>
      <c r="IA346" s="21"/>
      <c r="IB346" s="21"/>
      <c r="IC346" s="21"/>
      <c r="ID346" s="21"/>
      <c r="IE346" s="21"/>
      <c r="IF346" s="21"/>
      <c r="IG346" s="21"/>
      <c r="IH346" s="21"/>
      <c r="II346" s="21"/>
      <c r="IJ346" s="21"/>
      <c r="IK346" s="21"/>
      <c r="IL346" s="21"/>
      <c r="IM346" s="21"/>
      <c r="IN346" s="21"/>
      <c r="IO346" s="21"/>
      <c r="IP346" s="21"/>
      <c r="IQ346" s="21"/>
      <c r="IR346" s="21"/>
      <c r="IS346" s="21"/>
      <c r="IT346" s="21"/>
    </row>
    <row r="347" spans="1:254" s="3" customFormat="1" ht="27" customHeight="1">
      <c r="A347" s="11">
        <v>345</v>
      </c>
      <c r="B347" s="13" t="str">
        <f>"符照"</f>
        <v>符照</v>
      </c>
      <c r="C347" s="13" t="s">
        <v>27</v>
      </c>
      <c r="D347" s="13" t="str">
        <f>"230702205504"</f>
        <v>230702205504</v>
      </c>
      <c r="E347" s="18">
        <v>67.38499999999999</v>
      </c>
      <c r="F347" s="19" t="s">
        <v>10</v>
      </c>
      <c r="G347" s="19" t="s">
        <v>10</v>
      </c>
      <c r="H347" s="18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0"/>
      <c r="CP347" s="20"/>
      <c r="CQ347" s="20"/>
      <c r="CR347" s="20"/>
      <c r="CS347" s="20"/>
      <c r="CT347" s="20"/>
      <c r="CU347" s="20"/>
      <c r="CV347" s="20"/>
      <c r="CW347" s="20"/>
      <c r="CX347" s="20"/>
      <c r="CY347" s="20"/>
      <c r="CZ347" s="20"/>
      <c r="DA347" s="20"/>
      <c r="DB347" s="20"/>
      <c r="DC347" s="20"/>
      <c r="DD347" s="20"/>
      <c r="DE347" s="20"/>
      <c r="DF347" s="20"/>
      <c r="DG347" s="20"/>
      <c r="DH347" s="20"/>
      <c r="DI347" s="20"/>
      <c r="DJ347" s="20"/>
      <c r="DK347" s="20"/>
      <c r="DL347" s="20"/>
      <c r="DM347" s="20"/>
      <c r="DN347" s="20"/>
      <c r="DO347" s="20"/>
      <c r="DP347" s="20"/>
      <c r="DQ347" s="20"/>
      <c r="DR347" s="20"/>
      <c r="DS347" s="20"/>
      <c r="DT347" s="20"/>
      <c r="DU347" s="20"/>
      <c r="DV347" s="20"/>
      <c r="DW347" s="20"/>
      <c r="DX347" s="20"/>
      <c r="DY347" s="20"/>
      <c r="DZ347" s="20"/>
      <c r="EA347" s="20"/>
      <c r="EB347" s="20"/>
      <c r="EC347" s="20"/>
      <c r="ED347" s="20"/>
      <c r="EE347" s="20"/>
      <c r="EF347" s="20"/>
      <c r="EG347" s="20"/>
      <c r="EH347" s="20"/>
      <c r="EI347" s="20"/>
      <c r="EJ347" s="20"/>
      <c r="EK347" s="20"/>
      <c r="EL347" s="20"/>
      <c r="EM347" s="20"/>
      <c r="EN347" s="20"/>
      <c r="EO347" s="20"/>
      <c r="EP347" s="20"/>
      <c r="EQ347" s="20"/>
      <c r="ER347" s="20"/>
      <c r="ES347" s="20"/>
      <c r="ET347" s="20"/>
      <c r="EU347" s="20"/>
      <c r="EV347" s="20"/>
      <c r="EW347" s="20"/>
      <c r="EX347" s="20"/>
      <c r="EY347" s="20"/>
      <c r="EZ347" s="20"/>
      <c r="FA347" s="20"/>
      <c r="FB347" s="20"/>
      <c r="FC347" s="20"/>
      <c r="FD347" s="20"/>
      <c r="FE347" s="20"/>
      <c r="FF347" s="20"/>
      <c r="FG347" s="20"/>
      <c r="FH347" s="20"/>
      <c r="FI347" s="20"/>
      <c r="FJ347" s="20"/>
      <c r="FK347" s="20"/>
      <c r="FL347" s="20"/>
      <c r="FM347" s="20"/>
      <c r="FN347" s="20"/>
      <c r="FO347" s="20"/>
      <c r="FP347" s="20"/>
      <c r="FQ347" s="20"/>
      <c r="FR347" s="20"/>
      <c r="FS347" s="20"/>
      <c r="FT347" s="20"/>
      <c r="FU347" s="20"/>
      <c r="FV347" s="20"/>
      <c r="FW347" s="20"/>
      <c r="FX347" s="20"/>
      <c r="FY347" s="20"/>
      <c r="FZ347" s="20"/>
      <c r="GA347" s="20"/>
      <c r="GB347" s="20"/>
      <c r="GC347" s="20"/>
      <c r="GD347" s="20"/>
      <c r="GE347" s="20"/>
      <c r="GF347" s="20"/>
      <c r="GG347" s="20"/>
      <c r="GH347" s="20"/>
      <c r="GI347" s="20"/>
      <c r="GJ347" s="20"/>
      <c r="GK347" s="20"/>
      <c r="GL347" s="20"/>
      <c r="GM347" s="20"/>
      <c r="GN347" s="20"/>
      <c r="GO347" s="20"/>
      <c r="GP347" s="20"/>
      <c r="GQ347" s="20"/>
      <c r="GR347" s="20"/>
      <c r="GS347" s="20"/>
      <c r="GT347" s="21"/>
      <c r="GU347" s="21"/>
      <c r="GV347" s="21"/>
      <c r="GW347" s="21"/>
      <c r="GX347" s="21"/>
      <c r="GY347" s="21"/>
      <c r="GZ347" s="21"/>
      <c r="HA347" s="21"/>
      <c r="HB347" s="21"/>
      <c r="HC347" s="21"/>
      <c r="HD347" s="21"/>
      <c r="HE347" s="21"/>
      <c r="HF347" s="21"/>
      <c r="HG347" s="21"/>
      <c r="HH347" s="21"/>
      <c r="HI347" s="21"/>
      <c r="HJ347" s="21"/>
      <c r="HK347" s="21"/>
      <c r="HL347" s="21"/>
      <c r="HM347" s="21"/>
      <c r="HN347" s="21"/>
      <c r="HO347" s="21"/>
      <c r="HP347" s="21"/>
      <c r="HQ347" s="21"/>
      <c r="HR347" s="21"/>
      <c r="HS347" s="21"/>
      <c r="HT347" s="21"/>
      <c r="HU347" s="21"/>
      <c r="HV347" s="21"/>
      <c r="HW347" s="21"/>
      <c r="HX347" s="21"/>
      <c r="HY347" s="21"/>
      <c r="HZ347" s="21"/>
      <c r="IA347" s="21"/>
      <c r="IB347" s="21"/>
      <c r="IC347" s="21"/>
      <c r="ID347" s="21"/>
      <c r="IE347" s="21"/>
      <c r="IF347" s="21"/>
      <c r="IG347" s="21"/>
      <c r="IH347" s="21"/>
      <c r="II347" s="21"/>
      <c r="IJ347" s="21"/>
      <c r="IK347" s="21"/>
      <c r="IL347" s="21"/>
      <c r="IM347" s="21"/>
      <c r="IN347" s="21"/>
      <c r="IO347" s="21"/>
      <c r="IP347" s="21"/>
      <c r="IQ347" s="21"/>
      <c r="IR347" s="21"/>
      <c r="IS347" s="21"/>
      <c r="IT347" s="21"/>
    </row>
    <row r="348" spans="1:254" s="3" customFormat="1" ht="27" customHeight="1">
      <c r="A348" s="11">
        <v>346</v>
      </c>
      <c r="B348" s="13" t="str">
        <f>"谢宇腾"</f>
        <v>谢宇腾</v>
      </c>
      <c r="C348" s="13" t="s">
        <v>27</v>
      </c>
      <c r="D348" s="13" t="str">
        <f>"230702206203"</f>
        <v>230702206203</v>
      </c>
      <c r="E348" s="18">
        <v>67.3</v>
      </c>
      <c r="F348" s="19" t="s">
        <v>10</v>
      </c>
      <c r="G348" s="19" t="s">
        <v>10</v>
      </c>
      <c r="H348" s="18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0"/>
      <c r="CP348" s="20"/>
      <c r="CQ348" s="20"/>
      <c r="CR348" s="20"/>
      <c r="CS348" s="20"/>
      <c r="CT348" s="20"/>
      <c r="CU348" s="20"/>
      <c r="CV348" s="20"/>
      <c r="CW348" s="20"/>
      <c r="CX348" s="20"/>
      <c r="CY348" s="20"/>
      <c r="CZ348" s="20"/>
      <c r="DA348" s="20"/>
      <c r="DB348" s="20"/>
      <c r="DC348" s="20"/>
      <c r="DD348" s="20"/>
      <c r="DE348" s="20"/>
      <c r="DF348" s="20"/>
      <c r="DG348" s="20"/>
      <c r="DH348" s="20"/>
      <c r="DI348" s="20"/>
      <c r="DJ348" s="20"/>
      <c r="DK348" s="20"/>
      <c r="DL348" s="20"/>
      <c r="DM348" s="20"/>
      <c r="DN348" s="20"/>
      <c r="DO348" s="20"/>
      <c r="DP348" s="20"/>
      <c r="DQ348" s="20"/>
      <c r="DR348" s="20"/>
      <c r="DS348" s="20"/>
      <c r="DT348" s="20"/>
      <c r="DU348" s="20"/>
      <c r="DV348" s="20"/>
      <c r="DW348" s="20"/>
      <c r="DX348" s="20"/>
      <c r="DY348" s="20"/>
      <c r="DZ348" s="20"/>
      <c r="EA348" s="20"/>
      <c r="EB348" s="20"/>
      <c r="EC348" s="20"/>
      <c r="ED348" s="20"/>
      <c r="EE348" s="20"/>
      <c r="EF348" s="20"/>
      <c r="EG348" s="20"/>
      <c r="EH348" s="20"/>
      <c r="EI348" s="20"/>
      <c r="EJ348" s="20"/>
      <c r="EK348" s="20"/>
      <c r="EL348" s="20"/>
      <c r="EM348" s="20"/>
      <c r="EN348" s="20"/>
      <c r="EO348" s="20"/>
      <c r="EP348" s="20"/>
      <c r="EQ348" s="20"/>
      <c r="ER348" s="20"/>
      <c r="ES348" s="20"/>
      <c r="ET348" s="20"/>
      <c r="EU348" s="20"/>
      <c r="EV348" s="20"/>
      <c r="EW348" s="20"/>
      <c r="EX348" s="20"/>
      <c r="EY348" s="20"/>
      <c r="EZ348" s="20"/>
      <c r="FA348" s="20"/>
      <c r="FB348" s="20"/>
      <c r="FC348" s="20"/>
      <c r="FD348" s="20"/>
      <c r="FE348" s="20"/>
      <c r="FF348" s="20"/>
      <c r="FG348" s="20"/>
      <c r="FH348" s="20"/>
      <c r="FI348" s="20"/>
      <c r="FJ348" s="20"/>
      <c r="FK348" s="20"/>
      <c r="FL348" s="20"/>
      <c r="FM348" s="20"/>
      <c r="FN348" s="20"/>
      <c r="FO348" s="20"/>
      <c r="FP348" s="20"/>
      <c r="FQ348" s="20"/>
      <c r="FR348" s="20"/>
      <c r="FS348" s="20"/>
      <c r="FT348" s="20"/>
      <c r="FU348" s="20"/>
      <c r="FV348" s="20"/>
      <c r="FW348" s="20"/>
      <c r="FX348" s="20"/>
      <c r="FY348" s="20"/>
      <c r="FZ348" s="20"/>
      <c r="GA348" s="20"/>
      <c r="GB348" s="20"/>
      <c r="GC348" s="20"/>
      <c r="GD348" s="20"/>
      <c r="GE348" s="20"/>
      <c r="GF348" s="20"/>
      <c r="GG348" s="20"/>
      <c r="GH348" s="20"/>
      <c r="GI348" s="20"/>
      <c r="GJ348" s="20"/>
      <c r="GK348" s="20"/>
      <c r="GL348" s="20"/>
      <c r="GM348" s="20"/>
      <c r="GN348" s="20"/>
      <c r="GO348" s="20"/>
      <c r="GP348" s="20"/>
      <c r="GQ348" s="20"/>
      <c r="GR348" s="20"/>
      <c r="GS348" s="20"/>
      <c r="GT348" s="21"/>
      <c r="GU348" s="21"/>
      <c r="GV348" s="21"/>
      <c r="GW348" s="21"/>
      <c r="GX348" s="21"/>
      <c r="GY348" s="21"/>
      <c r="GZ348" s="21"/>
      <c r="HA348" s="21"/>
      <c r="HB348" s="21"/>
      <c r="HC348" s="21"/>
      <c r="HD348" s="21"/>
      <c r="HE348" s="21"/>
      <c r="HF348" s="21"/>
      <c r="HG348" s="21"/>
      <c r="HH348" s="21"/>
      <c r="HI348" s="21"/>
      <c r="HJ348" s="21"/>
      <c r="HK348" s="21"/>
      <c r="HL348" s="21"/>
      <c r="HM348" s="21"/>
      <c r="HN348" s="21"/>
      <c r="HO348" s="21"/>
      <c r="HP348" s="21"/>
      <c r="HQ348" s="21"/>
      <c r="HR348" s="21"/>
      <c r="HS348" s="21"/>
      <c r="HT348" s="21"/>
      <c r="HU348" s="21"/>
      <c r="HV348" s="21"/>
      <c r="HW348" s="21"/>
      <c r="HX348" s="21"/>
      <c r="HY348" s="21"/>
      <c r="HZ348" s="21"/>
      <c r="IA348" s="21"/>
      <c r="IB348" s="21"/>
      <c r="IC348" s="21"/>
      <c r="ID348" s="21"/>
      <c r="IE348" s="21"/>
      <c r="IF348" s="21"/>
      <c r="IG348" s="21"/>
      <c r="IH348" s="21"/>
      <c r="II348" s="21"/>
      <c r="IJ348" s="21"/>
      <c r="IK348" s="21"/>
      <c r="IL348" s="21"/>
      <c r="IM348" s="21"/>
      <c r="IN348" s="21"/>
      <c r="IO348" s="21"/>
      <c r="IP348" s="21"/>
      <c r="IQ348" s="21"/>
      <c r="IR348" s="21"/>
      <c r="IS348" s="21"/>
      <c r="IT348" s="21"/>
    </row>
    <row r="349" spans="1:254" s="3" customFormat="1" ht="27" customHeight="1">
      <c r="A349" s="11">
        <v>347</v>
      </c>
      <c r="B349" s="13" t="str">
        <f>"符高铨"</f>
        <v>符高铨</v>
      </c>
      <c r="C349" s="13" t="s">
        <v>27</v>
      </c>
      <c r="D349" s="13" t="str">
        <f>"230702205615"</f>
        <v>230702205615</v>
      </c>
      <c r="E349" s="18">
        <v>65.88499999999999</v>
      </c>
      <c r="F349" s="19" t="s">
        <v>10</v>
      </c>
      <c r="G349" s="19" t="s">
        <v>10</v>
      </c>
      <c r="H349" s="18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0"/>
      <c r="CP349" s="20"/>
      <c r="CQ349" s="20"/>
      <c r="CR349" s="20"/>
      <c r="CS349" s="20"/>
      <c r="CT349" s="20"/>
      <c r="CU349" s="20"/>
      <c r="CV349" s="20"/>
      <c r="CW349" s="20"/>
      <c r="CX349" s="20"/>
      <c r="CY349" s="20"/>
      <c r="CZ349" s="20"/>
      <c r="DA349" s="20"/>
      <c r="DB349" s="20"/>
      <c r="DC349" s="20"/>
      <c r="DD349" s="20"/>
      <c r="DE349" s="20"/>
      <c r="DF349" s="20"/>
      <c r="DG349" s="20"/>
      <c r="DH349" s="20"/>
      <c r="DI349" s="20"/>
      <c r="DJ349" s="20"/>
      <c r="DK349" s="20"/>
      <c r="DL349" s="20"/>
      <c r="DM349" s="20"/>
      <c r="DN349" s="20"/>
      <c r="DO349" s="20"/>
      <c r="DP349" s="20"/>
      <c r="DQ349" s="20"/>
      <c r="DR349" s="20"/>
      <c r="DS349" s="20"/>
      <c r="DT349" s="20"/>
      <c r="DU349" s="20"/>
      <c r="DV349" s="20"/>
      <c r="DW349" s="20"/>
      <c r="DX349" s="20"/>
      <c r="DY349" s="20"/>
      <c r="DZ349" s="20"/>
      <c r="EA349" s="20"/>
      <c r="EB349" s="20"/>
      <c r="EC349" s="20"/>
      <c r="ED349" s="20"/>
      <c r="EE349" s="20"/>
      <c r="EF349" s="20"/>
      <c r="EG349" s="20"/>
      <c r="EH349" s="20"/>
      <c r="EI349" s="20"/>
      <c r="EJ349" s="20"/>
      <c r="EK349" s="20"/>
      <c r="EL349" s="20"/>
      <c r="EM349" s="20"/>
      <c r="EN349" s="20"/>
      <c r="EO349" s="20"/>
      <c r="EP349" s="20"/>
      <c r="EQ349" s="20"/>
      <c r="ER349" s="20"/>
      <c r="ES349" s="20"/>
      <c r="ET349" s="20"/>
      <c r="EU349" s="20"/>
      <c r="EV349" s="20"/>
      <c r="EW349" s="20"/>
      <c r="EX349" s="20"/>
      <c r="EY349" s="20"/>
      <c r="EZ349" s="20"/>
      <c r="FA349" s="20"/>
      <c r="FB349" s="20"/>
      <c r="FC349" s="20"/>
      <c r="FD349" s="20"/>
      <c r="FE349" s="20"/>
      <c r="FF349" s="20"/>
      <c r="FG349" s="20"/>
      <c r="FH349" s="20"/>
      <c r="FI349" s="20"/>
      <c r="FJ349" s="20"/>
      <c r="FK349" s="20"/>
      <c r="FL349" s="20"/>
      <c r="FM349" s="20"/>
      <c r="FN349" s="20"/>
      <c r="FO349" s="20"/>
      <c r="FP349" s="20"/>
      <c r="FQ349" s="20"/>
      <c r="FR349" s="20"/>
      <c r="FS349" s="20"/>
      <c r="FT349" s="20"/>
      <c r="FU349" s="20"/>
      <c r="FV349" s="20"/>
      <c r="FW349" s="20"/>
      <c r="FX349" s="20"/>
      <c r="FY349" s="20"/>
      <c r="FZ349" s="20"/>
      <c r="GA349" s="20"/>
      <c r="GB349" s="20"/>
      <c r="GC349" s="20"/>
      <c r="GD349" s="20"/>
      <c r="GE349" s="20"/>
      <c r="GF349" s="20"/>
      <c r="GG349" s="20"/>
      <c r="GH349" s="20"/>
      <c r="GI349" s="20"/>
      <c r="GJ349" s="20"/>
      <c r="GK349" s="20"/>
      <c r="GL349" s="20"/>
      <c r="GM349" s="20"/>
      <c r="GN349" s="20"/>
      <c r="GO349" s="20"/>
      <c r="GP349" s="20"/>
      <c r="GQ349" s="20"/>
      <c r="GR349" s="20"/>
      <c r="GS349" s="20"/>
      <c r="GT349" s="21"/>
      <c r="GU349" s="21"/>
      <c r="GV349" s="21"/>
      <c r="GW349" s="21"/>
      <c r="GX349" s="21"/>
      <c r="GY349" s="21"/>
      <c r="GZ349" s="21"/>
      <c r="HA349" s="21"/>
      <c r="HB349" s="21"/>
      <c r="HC349" s="21"/>
      <c r="HD349" s="21"/>
      <c r="HE349" s="21"/>
      <c r="HF349" s="21"/>
      <c r="HG349" s="21"/>
      <c r="HH349" s="21"/>
      <c r="HI349" s="21"/>
      <c r="HJ349" s="21"/>
      <c r="HK349" s="21"/>
      <c r="HL349" s="21"/>
      <c r="HM349" s="21"/>
      <c r="HN349" s="21"/>
      <c r="HO349" s="21"/>
      <c r="HP349" s="21"/>
      <c r="HQ349" s="21"/>
      <c r="HR349" s="21"/>
      <c r="HS349" s="21"/>
      <c r="HT349" s="21"/>
      <c r="HU349" s="21"/>
      <c r="HV349" s="21"/>
      <c r="HW349" s="21"/>
      <c r="HX349" s="21"/>
      <c r="HY349" s="21"/>
      <c r="HZ349" s="21"/>
      <c r="IA349" s="21"/>
      <c r="IB349" s="21"/>
      <c r="IC349" s="21"/>
      <c r="ID349" s="21"/>
      <c r="IE349" s="21"/>
      <c r="IF349" s="21"/>
      <c r="IG349" s="21"/>
      <c r="IH349" s="21"/>
      <c r="II349" s="21"/>
      <c r="IJ349" s="21"/>
      <c r="IK349" s="21"/>
      <c r="IL349" s="21"/>
      <c r="IM349" s="21"/>
      <c r="IN349" s="21"/>
      <c r="IO349" s="21"/>
      <c r="IP349" s="21"/>
      <c r="IQ349" s="21"/>
      <c r="IR349" s="21"/>
      <c r="IS349" s="21"/>
      <c r="IT349" s="21"/>
    </row>
    <row r="350" spans="1:254" s="3" customFormat="1" ht="27" customHeight="1">
      <c r="A350" s="11">
        <v>348</v>
      </c>
      <c r="B350" s="13" t="str">
        <f>"陈岸卫"</f>
        <v>陈岸卫</v>
      </c>
      <c r="C350" s="13" t="s">
        <v>27</v>
      </c>
      <c r="D350" s="13" t="str">
        <f>"230702206122"</f>
        <v>230702206122</v>
      </c>
      <c r="E350" s="18">
        <v>65.58500000000001</v>
      </c>
      <c r="F350" s="19" t="s">
        <v>10</v>
      </c>
      <c r="G350" s="19" t="s">
        <v>10</v>
      </c>
      <c r="H350" s="18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  <c r="CO350" s="20"/>
      <c r="CP350" s="20"/>
      <c r="CQ350" s="20"/>
      <c r="CR350" s="20"/>
      <c r="CS350" s="20"/>
      <c r="CT350" s="20"/>
      <c r="CU350" s="20"/>
      <c r="CV350" s="20"/>
      <c r="CW350" s="20"/>
      <c r="CX350" s="20"/>
      <c r="CY350" s="20"/>
      <c r="CZ350" s="20"/>
      <c r="DA350" s="20"/>
      <c r="DB350" s="20"/>
      <c r="DC350" s="20"/>
      <c r="DD350" s="20"/>
      <c r="DE350" s="20"/>
      <c r="DF350" s="20"/>
      <c r="DG350" s="20"/>
      <c r="DH350" s="20"/>
      <c r="DI350" s="20"/>
      <c r="DJ350" s="20"/>
      <c r="DK350" s="20"/>
      <c r="DL350" s="20"/>
      <c r="DM350" s="20"/>
      <c r="DN350" s="20"/>
      <c r="DO350" s="20"/>
      <c r="DP350" s="20"/>
      <c r="DQ350" s="20"/>
      <c r="DR350" s="20"/>
      <c r="DS350" s="20"/>
      <c r="DT350" s="20"/>
      <c r="DU350" s="20"/>
      <c r="DV350" s="20"/>
      <c r="DW350" s="20"/>
      <c r="DX350" s="20"/>
      <c r="DY350" s="20"/>
      <c r="DZ350" s="20"/>
      <c r="EA350" s="20"/>
      <c r="EB350" s="20"/>
      <c r="EC350" s="20"/>
      <c r="ED350" s="20"/>
      <c r="EE350" s="20"/>
      <c r="EF350" s="20"/>
      <c r="EG350" s="20"/>
      <c r="EH350" s="20"/>
      <c r="EI350" s="20"/>
      <c r="EJ350" s="20"/>
      <c r="EK350" s="20"/>
      <c r="EL350" s="20"/>
      <c r="EM350" s="20"/>
      <c r="EN350" s="20"/>
      <c r="EO350" s="20"/>
      <c r="EP350" s="20"/>
      <c r="EQ350" s="20"/>
      <c r="ER350" s="20"/>
      <c r="ES350" s="20"/>
      <c r="ET350" s="20"/>
      <c r="EU350" s="20"/>
      <c r="EV350" s="20"/>
      <c r="EW350" s="20"/>
      <c r="EX350" s="20"/>
      <c r="EY350" s="20"/>
      <c r="EZ350" s="20"/>
      <c r="FA350" s="20"/>
      <c r="FB350" s="20"/>
      <c r="FC350" s="20"/>
      <c r="FD350" s="20"/>
      <c r="FE350" s="20"/>
      <c r="FF350" s="20"/>
      <c r="FG350" s="20"/>
      <c r="FH350" s="20"/>
      <c r="FI350" s="20"/>
      <c r="FJ350" s="20"/>
      <c r="FK350" s="20"/>
      <c r="FL350" s="20"/>
      <c r="FM350" s="20"/>
      <c r="FN350" s="20"/>
      <c r="FO350" s="20"/>
      <c r="FP350" s="20"/>
      <c r="FQ350" s="20"/>
      <c r="FR350" s="20"/>
      <c r="FS350" s="20"/>
      <c r="FT350" s="20"/>
      <c r="FU350" s="20"/>
      <c r="FV350" s="20"/>
      <c r="FW350" s="20"/>
      <c r="FX350" s="20"/>
      <c r="FY350" s="20"/>
      <c r="FZ350" s="20"/>
      <c r="GA350" s="20"/>
      <c r="GB350" s="20"/>
      <c r="GC350" s="20"/>
      <c r="GD350" s="20"/>
      <c r="GE350" s="20"/>
      <c r="GF350" s="20"/>
      <c r="GG350" s="20"/>
      <c r="GH350" s="20"/>
      <c r="GI350" s="20"/>
      <c r="GJ350" s="20"/>
      <c r="GK350" s="20"/>
      <c r="GL350" s="20"/>
      <c r="GM350" s="20"/>
      <c r="GN350" s="20"/>
      <c r="GO350" s="20"/>
      <c r="GP350" s="20"/>
      <c r="GQ350" s="20"/>
      <c r="GR350" s="20"/>
      <c r="GS350" s="20"/>
      <c r="GT350" s="21"/>
      <c r="GU350" s="21"/>
      <c r="GV350" s="21"/>
      <c r="GW350" s="21"/>
      <c r="GX350" s="21"/>
      <c r="GY350" s="21"/>
      <c r="GZ350" s="21"/>
      <c r="HA350" s="21"/>
      <c r="HB350" s="21"/>
      <c r="HC350" s="21"/>
      <c r="HD350" s="21"/>
      <c r="HE350" s="21"/>
      <c r="HF350" s="21"/>
      <c r="HG350" s="21"/>
      <c r="HH350" s="21"/>
      <c r="HI350" s="21"/>
      <c r="HJ350" s="21"/>
      <c r="HK350" s="21"/>
      <c r="HL350" s="21"/>
      <c r="HM350" s="21"/>
      <c r="HN350" s="21"/>
      <c r="HO350" s="21"/>
      <c r="HP350" s="21"/>
      <c r="HQ350" s="21"/>
      <c r="HR350" s="21"/>
      <c r="HS350" s="21"/>
      <c r="HT350" s="21"/>
      <c r="HU350" s="21"/>
      <c r="HV350" s="21"/>
      <c r="HW350" s="21"/>
      <c r="HX350" s="21"/>
      <c r="HY350" s="21"/>
      <c r="HZ350" s="21"/>
      <c r="IA350" s="21"/>
      <c r="IB350" s="21"/>
      <c r="IC350" s="21"/>
      <c r="ID350" s="21"/>
      <c r="IE350" s="21"/>
      <c r="IF350" s="21"/>
      <c r="IG350" s="21"/>
      <c r="IH350" s="21"/>
      <c r="II350" s="21"/>
      <c r="IJ350" s="21"/>
      <c r="IK350" s="21"/>
      <c r="IL350" s="21"/>
      <c r="IM350" s="21"/>
      <c r="IN350" s="21"/>
      <c r="IO350" s="21"/>
      <c r="IP350" s="21"/>
      <c r="IQ350" s="21"/>
      <c r="IR350" s="21"/>
      <c r="IS350" s="21"/>
      <c r="IT350" s="21"/>
    </row>
    <row r="351" spans="1:254" s="3" customFormat="1" ht="27" customHeight="1">
      <c r="A351" s="11">
        <v>349</v>
      </c>
      <c r="B351" s="13" t="str">
        <f>"陈政理"</f>
        <v>陈政理</v>
      </c>
      <c r="C351" s="13" t="s">
        <v>27</v>
      </c>
      <c r="D351" s="13" t="str">
        <f>"230702205812"</f>
        <v>230702205812</v>
      </c>
      <c r="E351" s="18">
        <v>65.41499999999999</v>
      </c>
      <c r="F351" s="19" t="s">
        <v>10</v>
      </c>
      <c r="G351" s="19" t="s">
        <v>10</v>
      </c>
      <c r="H351" s="18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  <c r="CO351" s="20"/>
      <c r="CP351" s="20"/>
      <c r="CQ351" s="20"/>
      <c r="CR351" s="20"/>
      <c r="CS351" s="20"/>
      <c r="CT351" s="20"/>
      <c r="CU351" s="20"/>
      <c r="CV351" s="20"/>
      <c r="CW351" s="20"/>
      <c r="CX351" s="20"/>
      <c r="CY351" s="20"/>
      <c r="CZ351" s="20"/>
      <c r="DA351" s="20"/>
      <c r="DB351" s="20"/>
      <c r="DC351" s="20"/>
      <c r="DD351" s="20"/>
      <c r="DE351" s="20"/>
      <c r="DF351" s="20"/>
      <c r="DG351" s="20"/>
      <c r="DH351" s="20"/>
      <c r="DI351" s="20"/>
      <c r="DJ351" s="20"/>
      <c r="DK351" s="20"/>
      <c r="DL351" s="20"/>
      <c r="DM351" s="20"/>
      <c r="DN351" s="20"/>
      <c r="DO351" s="20"/>
      <c r="DP351" s="20"/>
      <c r="DQ351" s="20"/>
      <c r="DR351" s="20"/>
      <c r="DS351" s="20"/>
      <c r="DT351" s="20"/>
      <c r="DU351" s="20"/>
      <c r="DV351" s="20"/>
      <c r="DW351" s="20"/>
      <c r="DX351" s="20"/>
      <c r="DY351" s="20"/>
      <c r="DZ351" s="20"/>
      <c r="EA351" s="20"/>
      <c r="EB351" s="20"/>
      <c r="EC351" s="20"/>
      <c r="ED351" s="20"/>
      <c r="EE351" s="20"/>
      <c r="EF351" s="20"/>
      <c r="EG351" s="20"/>
      <c r="EH351" s="20"/>
      <c r="EI351" s="20"/>
      <c r="EJ351" s="20"/>
      <c r="EK351" s="20"/>
      <c r="EL351" s="20"/>
      <c r="EM351" s="20"/>
      <c r="EN351" s="20"/>
      <c r="EO351" s="20"/>
      <c r="EP351" s="20"/>
      <c r="EQ351" s="20"/>
      <c r="ER351" s="20"/>
      <c r="ES351" s="20"/>
      <c r="ET351" s="20"/>
      <c r="EU351" s="20"/>
      <c r="EV351" s="20"/>
      <c r="EW351" s="20"/>
      <c r="EX351" s="20"/>
      <c r="EY351" s="20"/>
      <c r="EZ351" s="20"/>
      <c r="FA351" s="20"/>
      <c r="FB351" s="20"/>
      <c r="FC351" s="20"/>
      <c r="FD351" s="20"/>
      <c r="FE351" s="20"/>
      <c r="FF351" s="20"/>
      <c r="FG351" s="20"/>
      <c r="FH351" s="20"/>
      <c r="FI351" s="20"/>
      <c r="FJ351" s="20"/>
      <c r="FK351" s="20"/>
      <c r="FL351" s="20"/>
      <c r="FM351" s="20"/>
      <c r="FN351" s="20"/>
      <c r="FO351" s="20"/>
      <c r="FP351" s="20"/>
      <c r="FQ351" s="20"/>
      <c r="FR351" s="20"/>
      <c r="FS351" s="20"/>
      <c r="FT351" s="20"/>
      <c r="FU351" s="20"/>
      <c r="FV351" s="20"/>
      <c r="FW351" s="20"/>
      <c r="FX351" s="20"/>
      <c r="FY351" s="20"/>
      <c r="FZ351" s="20"/>
      <c r="GA351" s="20"/>
      <c r="GB351" s="20"/>
      <c r="GC351" s="20"/>
      <c r="GD351" s="20"/>
      <c r="GE351" s="20"/>
      <c r="GF351" s="20"/>
      <c r="GG351" s="20"/>
      <c r="GH351" s="20"/>
      <c r="GI351" s="20"/>
      <c r="GJ351" s="20"/>
      <c r="GK351" s="20"/>
      <c r="GL351" s="20"/>
      <c r="GM351" s="20"/>
      <c r="GN351" s="20"/>
      <c r="GO351" s="20"/>
      <c r="GP351" s="20"/>
      <c r="GQ351" s="20"/>
      <c r="GR351" s="20"/>
      <c r="GS351" s="20"/>
      <c r="GT351" s="21"/>
      <c r="GU351" s="21"/>
      <c r="GV351" s="21"/>
      <c r="GW351" s="21"/>
      <c r="GX351" s="21"/>
      <c r="GY351" s="21"/>
      <c r="GZ351" s="21"/>
      <c r="HA351" s="21"/>
      <c r="HB351" s="21"/>
      <c r="HC351" s="21"/>
      <c r="HD351" s="21"/>
      <c r="HE351" s="21"/>
      <c r="HF351" s="21"/>
      <c r="HG351" s="21"/>
      <c r="HH351" s="21"/>
      <c r="HI351" s="21"/>
      <c r="HJ351" s="21"/>
      <c r="HK351" s="21"/>
      <c r="HL351" s="21"/>
      <c r="HM351" s="21"/>
      <c r="HN351" s="21"/>
      <c r="HO351" s="21"/>
      <c r="HP351" s="21"/>
      <c r="HQ351" s="21"/>
      <c r="HR351" s="21"/>
      <c r="HS351" s="21"/>
      <c r="HT351" s="21"/>
      <c r="HU351" s="21"/>
      <c r="HV351" s="21"/>
      <c r="HW351" s="21"/>
      <c r="HX351" s="21"/>
      <c r="HY351" s="21"/>
      <c r="HZ351" s="21"/>
      <c r="IA351" s="21"/>
      <c r="IB351" s="21"/>
      <c r="IC351" s="21"/>
      <c r="ID351" s="21"/>
      <c r="IE351" s="21"/>
      <c r="IF351" s="21"/>
      <c r="IG351" s="21"/>
      <c r="IH351" s="21"/>
      <c r="II351" s="21"/>
      <c r="IJ351" s="21"/>
      <c r="IK351" s="21"/>
      <c r="IL351" s="21"/>
      <c r="IM351" s="21"/>
      <c r="IN351" s="21"/>
      <c r="IO351" s="21"/>
      <c r="IP351" s="21"/>
      <c r="IQ351" s="21"/>
      <c r="IR351" s="21"/>
      <c r="IS351" s="21"/>
      <c r="IT351" s="21"/>
    </row>
    <row r="352" spans="1:254" s="2" customFormat="1" ht="24.75" customHeight="1">
      <c r="A352" s="11">
        <v>350</v>
      </c>
      <c r="B352" s="12" t="str">
        <f>"傅碧夏"</f>
        <v>傅碧夏</v>
      </c>
      <c r="C352" s="13" t="s">
        <v>28</v>
      </c>
      <c r="D352" s="13" t="str">
        <f>"230702207904"</f>
        <v>230702207904</v>
      </c>
      <c r="E352" s="18">
        <v>76.64</v>
      </c>
      <c r="F352" s="19" t="s">
        <v>10</v>
      </c>
      <c r="G352" s="19" t="s">
        <v>10</v>
      </c>
      <c r="H352" s="11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  <c r="CO352" s="20"/>
      <c r="CP352" s="20"/>
      <c r="CQ352" s="20"/>
      <c r="CR352" s="20"/>
      <c r="CS352" s="20"/>
      <c r="CT352" s="20"/>
      <c r="CU352" s="20"/>
      <c r="CV352" s="20"/>
      <c r="CW352" s="20"/>
      <c r="CX352" s="20"/>
      <c r="CY352" s="20"/>
      <c r="CZ352" s="20"/>
      <c r="DA352" s="20"/>
      <c r="DB352" s="20"/>
      <c r="DC352" s="20"/>
      <c r="DD352" s="20"/>
      <c r="DE352" s="20"/>
      <c r="DF352" s="20"/>
      <c r="DG352" s="20"/>
      <c r="DH352" s="20"/>
      <c r="DI352" s="20"/>
      <c r="DJ352" s="20"/>
      <c r="DK352" s="20"/>
      <c r="DL352" s="20"/>
      <c r="DM352" s="20"/>
      <c r="DN352" s="20"/>
      <c r="DO352" s="20"/>
      <c r="DP352" s="20"/>
      <c r="DQ352" s="20"/>
      <c r="DR352" s="20"/>
      <c r="DS352" s="20"/>
      <c r="DT352" s="20"/>
      <c r="DU352" s="20"/>
      <c r="DV352" s="20"/>
      <c r="DW352" s="20"/>
      <c r="DX352" s="20"/>
      <c r="DY352" s="20"/>
      <c r="DZ352" s="20"/>
      <c r="EA352" s="20"/>
      <c r="EB352" s="20"/>
      <c r="EC352" s="20"/>
      <c r="ED352" s="20"/>
      <c r="EE352" s="20"/>
      <c r="EF352" s="20"/>
      <c r="EG352" s="20"/>
      <c r="EH352" s="20"/>
      <c r="EI352" s="20"/>
      <c r="EJ352" s="20"/>
      <c r="EK352" s="20"/>
      <c r="EL352" s="20"/>
      <c r="EM352" s="20"/>
      <c r="EN352" s="20"/>
      <c r="EO352" s="20"/>
      <c r="EP352" s="20"/>
      <c r="EQ352" s="20"/>
      <c r="ER352" s="20"/>
      <c r="ES352" s="20"/>
      <c r="ET352" s="20"/>
      <c r="EU352" s="20"/>
      <c r="EV352" s="20"/>
      <c r="EW352" s="20"/>
      <c r="EX352" s="20"/>
      <c r="EY352" s="20"/>
      <c r="EZ352" s="20"/>
      <c r="FA352" s="20"/>
      <c r="FB352" s="20"/>
      <c r="FC352" s="20"/>
      <c r="FD352" s="20"/>
      <c r="FE352" s="20"/>
      <c r="FF352" s="20"/>
      <c r="FG352" s="20"/>
      <c r="FH352" s="20"/>
      <c r="FI352" s="20"/>
      <c r="FJ352" s="20"/>
      <c r="FK352" s="20"/>
      <c r="FL352" s="20"/>
      <c r="FM352" s="20"/>
      <c r="FN352" s="20"/>
      <c r="FO352" s="20"/>
      <c r="FP352" s="20"/>
      <c r="FQ352" s="20"/>
      <c r="FR352" s="20"/>
      <c r="FS352" s="20"/>
      <c r="FT352" s="20"/>
      <c r="FU352" s="20"/>
      <c r="FV352" s="20"/>
      <c r="FW352" s="20"/>
      <c r="FX352" s="20"/>
      <c r="FY352" s="20"/>
      <c r="FZ352" s="20"/>
      <c r="GA352" s="20"/>
      <c r="GB352" s="20"/>
      <c r="GC352" s="20"/>
      <c r="GD352" s="20"/>
      <c r="GE352" s="20"/>
      <c r="GF352" s="20"/>
      <c r="GG352" s="20"/>
      <c r="GH352" s="20"/>
      <c r="GI352" s="20"/>
      <c r="GJ352" s="20"/>
      <c r="GK352" s="20"/>
      <c r="GL352" s="20"/>
      <c r="GM352" s="20"/>
      <c r="GN352" s="20"/>
      <c r="GO352" s="20"/>
      <c r="GP352" s="20"/>
      <c r="GQ352" s="20"/>
      <c r="GR352" s="21"/>
      <c r="GS352" s="21"/>
      <c r="GT352" s="21"/>
      <c r="GU352" s="21"/>
      <c r="GV352" s="21"/>
      <c r="GW352" s="21"/>
      <c r="GX352" s="21"/>
      <c r="GY352" s="21"/>
      <c r="GZ352" s="21"/>
      <c r="HA352" s="21"/>
      <c r="HB352" s="21"/>
      <c r="HC352" s="21"/>
      <c r="HD352" s="21"/>
      <c r="HE352" s="21"/>
      <c r="HF352" s="21"/>
      <c r="HG352" s="21"/>
      <c r="HH352" s="21"/>
      <c r="HI352" s="21"/>
      <c r="HJ352" s="21"/>
      <c r="HK352" s="21"/>
      <c r="HL352" s="21"/>
      <c r="HM352" s="21"/>
      <c r="HN352" s="21"/>
      <c r="HO352" s="21"/>
      <c r="HP352" s="21"/>
      <c r="HQ352" s="21"/>
      <c r="HR352" s="21"/>
      <c r="HS352" s="21"/>
      <c r="HT352" s="21"/>
      <c r="HU352" s="21"/>
      <c r="HV352" s="21"/>
      <c r="HW352" s="21"/>
      <c r="HX352" s="21"/>
      <c r="HY352" s="21"/>
      <c r="HZ352" s="21"/>
      <c r="IA352" s="21"/>
      <c r="IB352" s="21"/>
      <c r="IC352" s="21"/>
      <c r="ID352" s="21"/>
      <c r="IE352" s="21"/>
      <c r="IF352" s="21"/>
      <c r="IG352" s="21"/>
      <c r="IH352" s="21"/>
      <c r="II352" s="21"/>
      <c r="IJ352" s="21"/>
      <c r="IK352" s="21"/>
      <c r="IL352" s="21"/>
      <c r="IM352" s="21"/>
      <c r="IN352" s="21"/>
      <c r="IO352" s="21"/>
      <c r="IP352" s="21"/>
      <c r="IQ352" s="21"/>
      <c r="IR352" s="21"/>
      <c r="IS352" s="21"/>
      <c r="IT352" s="21"/>
    </row>
    <row r="353" spans="1:254" s="2" customFormat="1" ht="24.75" customHeight="1">
      <c r="A353" s="11">
        <v>351</v>
      </c>
      <c r="B353" s="12" t="str">
        <f>"梁金儿"</f>
        <v>梁金儿</v>
      </c>
      <c r="C353" s="13" t="s">
        <v>28</v>
      </c>
      <c r="D353" s="13" t="str">
        <f>"230702208026"</f>
        <v>230702208026</v>
      </c>
      <c r="E353" s="18">
        <v>75.93</v>
      </c>
      <c r="F353" s="19" t="s">
        <v>10</v>
      </c>
      <c r="G353" s="19" t="s">
        <v>10</v>
      </c>
      <c r="H353" s="11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0"/>
      <c r="CP353" s="20"/>
      <c r="CQ353" s="20"/>
      <c r="CR353" s="20"/>
      <c r="CS353" s="20"/>
      <c r="CT353" s="20"/>
      <c r="CU353" s="20"/>
      <c r="CV353" s="20"/>
      <c r="CW353" s="20"/>
      <c r="CX353" s="20"/>
      <c r="CY353" s="20"/>
      <c r="CZ353" s="20"/>
      <c r="DA353" s="20"/>
      <c r="DB353" s="20"/>
      <c r="DC353" s="20"/>
      <c r="DD353" s="20"/>
      <c r="DE353" s="20"/>
      <c r="DF353" s="20"/>
      <c r="DG353" s="20"/>
      <c r="DH353" s="20"/>
      <c r="DI353" s="20"/>
      <c r="DJ353" s="20"/>
      <c r="DK353" s="20"/>
      <c r="DL353" s="20"/>
      <c r="DM353" s="20"/>
      <c r="DN353" s="20"/>
      <c r="DO353" s="20"/>
      <c r="DP353" s="20"/>
      <c r="DQ353" s="20"/>
      <c r="DR353" s="20"/>
      <c r="DS353" s="20"/>
      <c r="DT353" s="20"/>
      <c r="DU353" s="20"/>
      <c r="DV353" s="20"/>
      <c r="DW353" s="20"/>
      <c r="DX353" s="20"/>
      <c r="DY353" s="20"/>
      <c r="DZ353" s="20"/>
      <c r="EA353" s="20"/>
      <c r="EB353" s="20"/>
      <c r="EC353" s="20"/>
      <c r="ED353" s="20"/>
      <c r="EE353" s="20"/>
      <c r="EF353" s="20"/>
      <c r="EG353" s="20"/>
      <c r="EH353" s="20"/>
      <c r="EI353" s="20"/>
      <c r="EJ353" s="20"/>
      <c r="EK353" s="20"/>
      <c r="EL353" s="20"/>
      <c r="EM353" s="20"/>
      <c r="EN353" s="20"/>
      <c r="EO353" s="20"/>
      <c r="EP353" s="20"/>
      <c r="EQ353" s="20"/>
      <c r="ER353" s="20"/>
      <c r="ES353" s="20"/>
      <c r="ET353" s="20"/>
      <c r="EU353" s="20"/>
      <c r="EV353" s="20"/>
      <c r="EW353" s="20"/>
      <c r="EX353" s="20"/>
      <c r="EY353" s="20"/>
      <c r="EZ353" s="20"/>
      <c r="FA353" s="20"/>
      <c r="FB353" s="20"/>
      <c r="FC353" s="20"/>
      <c r="FD353" s="20"/>
      <c r="FE353" s="20"/>
      <c r="FF353" s="20"/>
      <c r="FG353" s="20"/>
      <c r="FH353" s="20"/>
      <c r="FI353" s="20"/>
      <c r="FJ353" s="20"/>
      <c r="FK353" s="20"/>
      <c r="FL353" s="20"/>
      <c r="FM353" s="20"/>
      <c r="FN353" s="20"/>
      <c r="FO353" s="20"/>
      <c r="FP353" s="20"/>
      <c r="FQ353" s="20"/>
      <c r="FR353" s="20"/>
      <c r="FS353" s="20"/>
      <c r="FT353" s="20"/>
      <c r="FU353" s="20"/>
      <c r="FV353" s="20"/>
      <c r="FW353" s="20"/>
      <c r="FX353" s="20"/>
      <c r="FY353" s="20"/>
      <c r="FZ353" s="20"/>
      <c r="GA353" s="20"/>
      <c r="GB353" s="20"/>
      <c r="GC353" s="20"/>
      <c r="GD353" s="20"/>
      <c r="GE353" s="20"/>
      <c r="GF353" s="20"/>
      <c r="GG353" s="20"/>
      <c r="GH353" s="20"/>
      <c r="GI353" s="20"/>
      <c r="GJ353" s="20"/>
      <c r="GK353" s="20"/>
      <c r="GL353" s="20"/>
      <c r="GM353" s="20"/>
      <c r="GN353" s="20"/>
      <c r="GO353" s="20"/>
      <c r="GP353" s="20"/>
      <c r="GQ353" s="20"/>
      <c r="GR353" s="21"/>
      <c r="GS353" s="21"/>
      <c r="GT353" s="21"/>
      <c r="GU353" s="21"/>
      <c r="GV353" s="21"/>
      <c r="GW353" s="21"/>
      <c r="GX353" s="21"/>
      <c r="GY353" s="21"/>
      <c r="GZ353" s="21"/>
      <c r="HA353" s="21"/>
      <c r="HB353" s="21"/>
      <c r="HC353" s="21"/>
      <c r="HD353" s="21"/>
      <c r="HE353" s="21"/>
      <c r="HF353" s="21"/>
      <c r="HG353" s="21"/>
      <c r="HH353" s="21"/>
      <c r="HI353" s="21"/>
      <c r="HJ353" s="21"/>
      <c r="HK353" s="21"/>
      <c r="HL353" s="21"/>
      <c r="HM353" s="21"/>
      <c r="HN353" s="21"/>
      <c r="HO353" s="21"/>
      <c r="HP353" s="21"/>
      <c r="HQ353" s="21"/>
      <c r="HR353" s="21"/>
      <c r="HS353" s="21"/>
      <c r="HT353" s="21"/>
      <c r="HU353" s="21"/>
      <c r="HV353" s="21"/>
      <c r="HW353" s="21"/>
      <c r="HX353" s="21"/>
      <c r="HY353" s="21"/>
      <c r="HZ353" s="21"/>
      <c r="IA353" s="21"/>
      <c r="IB353" s="21"/>
      <c r="IC353" s="21"/>
      <c r="ID353" s="21"/>
      <c r="IE353" s="21"/>
      <c r="IF353" s="21"/>
      <c r="IG353" s="21"/>
      <c r="IH353" s="21"/>
      <c r="II353" s="21"/>
      <c r="IJ353" s="21"/>
      <c r="IK353" s="21"/>
      <c r="IL353" s="21"/>
      <c r="IM353" s="21"/>
      <c r="IN353" s="21"/>
      <c r="IO353" s="21"/>
      <c r="IP353" s="21"/>
      <c r="IQ353" s="21"/>
      <c r="IR353" s="21"/>
      <c r="IS353" s="21"/>
      <c r="IT353" s="21"/>
    </row>
    <row r="354" spans="1:254" s="2" customFormat="1" ht="24.75" customHeight="1">
      <c r="A354" s="11">
        <v>352</v>
      </c>
      <c r="B354" s="12" t="str">
        <f>"王小玉"</f>
        <v>王小玉</v>
      </c>
      <c r="C354" s="13" t="s">
        <v>28</v>
      </c>
      <c r="D354" s="13" t="str">
        <f>"230702207916"</f>
        <v>230702207916</v>
      </c>
      <c r="E354" s="18">
        <v>75.84</v>
      </c>
      <c r="F354" s="19" t="s">
        <v>10</v>
      </c>
      <c r="G354" s="19" t="s">
        <v>10</v>
      </c>
      <c r="H354" s="11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0"/>
      <c r="CP354" s="20"/>
      <c r="CQ354" s="20"/>
      <c r="CR354" s="20"/>
      <c r="CS354" s="20"/>
      <c r="CT354" s="20"/>
      <c r="CU354" s="20"/>
      <c r="CV354" s="20"/>
      <c r="CW354" s="20"/>
      <c r="CX354" s="20"/>
      <c r="CY354" s="20"/>
      <c r="CZ354" s="20"/>
      <c r="DA354" s="20"/>
      <c r="DB354" s="20"/>
      <c r="DC354" s="20"/>
      <c r="DD354" s="20"/>
      <c r="DE354" s="20"/>
      <c r="DF354" s="20"/>
      <c r="DG354" s="20"/>
      <c r="DH354" s="20"/>
      <c r="DI354" s="20"/>
      <c r="DJ354" s="20"/>
      <c r="DK354" s="20"/>
      <c r="DL354" s="20"/>
      <c r="DM354" s="20"/>
      <c r="DN354" s="20"/>
      <c r="DO354" s="20"/>
      <c r="DP354" s="20"/>
      <c r="DQ354" s="20"/>
      <c r="DR354" s="20"/>
      <c r="DS354" s="20"/>
      <c r="DT354" s="20"/>
      <c r="DU354" s="20"/>
      <c r="DV354" s="20"/>
      <c r="DW354" s="20"/>
      <c r="DX354" s="20"/>
      <c r="DY354" s="20"/>
      <c r="DZ354" s="20"/>
      <c r="EA354" s="20"/>
      <c r="EB354" s="20"/>
      <c r="EC354" s="20"/>
      <c r="ED354" s="20"/>
      <c r="EE354" s="20"/>
      <c r="EF354" s="20"/>
      <c r="EG354" s="20"/>
      <c r="EH354" s="20"/>
      <c r="EI354" s="20"/>
      <c r="EJ354" s="20"/>
      <c r="EK354" s="20"/>
      <c r="EL354" s="20"/>
      <c r="EM354" s="20"/>
      <c r="EN354" s="20"/>
      <c r="EO354" s="20"/>
      <c r="EP354" s="20"/>
      <c r="EQ354" s="20"/>
      <c r="ER354" s="20"/>
      <c r="ES354" s="20"/>
      <c r="ET354" s="20"/>
      <c r="EU354" s="20"/>
      <c r="EV354" s="20"/>
      <c r="EW354" s="20"/>
      <c r="EX354" s="20"/>
      <c r="EY354" s="20"/>
      <c r="EZ354" s="20"/>
      <c r="FA354" s="20"/>
      <c r="FB354" s="20"/>
      <c r="FC354" s="20"/>
      <c r="FD354" s="20"/>
      <c r="FE354" s="20"/>
      <c r="FF354" s="20"/>
      <c r="FG354" s="20"/>
      <c r="FH354" s="20"/>
      <c r="FI354" s="20"/>
      <c r="FJ354" s="20"/>
      <c r="FK354" s="20"/>
      <c r="FL354" s="20"/>
      <c r="FM354" s="20"/>
      <c r="FN354" s="20"/>
      <c r="FO354" s="20"/>
      <c r="FP354" s="20"/>
      <c r="FQ354" s="20"/>
      <c r="FR354" s="20"/>
      <c r="FS354" s="20"/>
      <c r="FT354" s="20"/>
      <c r="FU354" s="20"/>
      <c r="FV354" s="20"/>
      <c r="FW354" s="20"/>
      <c r="FX354" s="20"/>
      <c r="FY354" s="20"/>
      <c r="FZ354" s="20"/>
      <c r="GA354" s="20"/>
      <c r="GB354" s="20"/>
      <c r="GC354" s="20"/>
      <c r="GD354" s="20"/>
      <c r="GE354" s="20"/>
      <c r="GF354" s="20"/>
      <c r="GG354" s="20"/>
      <c r="GH354" s="20"/>
      <c r="GI354" s="20"/>
      <c r="GJ354" s="20"/>
      <c r="GK354" s="20"/>
      <c r="GL354" s="20"/>
      <c r="GM354" s="20"/>
      <c r="GN354" s="20"/>
      <c r="GO354" s="20"/>
      <c r="GP354" s="20"/>
      <c r="GQ354" s="20"/>
      <c r="GR354" s="21"/>
      <c r="GS354" s="21"/>
      <c r="GT354" s="21"/>
      <c r="GU354" s="21"/>
      <c r="GV354" s="21"/>
      <c r="GW354" s="21"/>
      <c r="GX354" s="21"/>
      <c r="GY354" s="21"/>
      <c r="GZ354" s="21"/>
      <c r="HA354" s="21"/>
      <c r="HB354" s="21"/>
      <c r="HC354" s="21"/>
      <c r="HD354" s="21"/>
      <c r="HE354" s="21"/>
      <c r="HF354" s="21"/>
      <c r="HG354" s="21"/>
      <c r="HH354" s="21"/>
      <c r="HI354" s="21"/>
      <c r="HJ354" s="21"/>
      <c r="HK354" s="21"/>
      <c r="HL354" s="21"/>
      <c r="HM354" s="21"/>
      <c r="HN354" s="21"/>
      <c r="HO354" s="21"/>
      <c r="HP354" s="21"/>
      <c r="HQ354" s="21"/>
      <c r="HR354" s="21"/>
      <c r="HS354" s="21"/>
      <c r="HT354" s="21"/>
      <c r="HU354" s="21"/>
      <c r="HV354" s="21"/>
      <c r="HW354" s="21"/>
      <c r="HX354" s="21"/>
      <c r="HY354" s="21"/>
      <c r="HZ354" s="21"/>
      <c r="IA354" s="21"/>
      <c r="IB354" s="21"/>
      <c r="IC354" s="21"/>
      <c r="ID354" s="21"/>
      <c r="IE354" s="21"/>
      <c r="IF354" s="21"/>
      <c r="IG354" s="21"/>
      <c r="IH354" s="21"/>
      <c r="II354" s="21"/>
      <c r="IJ354" s="21"/>
      <c r="IK354" s="21"/>
      <c r="IL354" s="21"/>
      <c r="IM354" s="21"/>
      <c r="IN354" s="21"/>
      <c r="IO354" s="21"/>
      <c r="IP354" s="21"/>
      <c r="IQ354" s="21"/>
      <c r="IR354" s="21"/>
      <c r="IS354" s="21"/>
      <c r="IT354" s="21"/>
    </row>
    <row r="355" spans="1:254" s="2" customFormat="1" ht="24.75" customHeight="1">
      <c r="A355" s="11">
        <v>353</v>
      </c>
      <c r="B355" s="12" t="str">
        <f>"卢周武"</f>
        <v>卢周武</v>
      </c>
      <c r="C355" s="13" t="s">
        <v>29</v>
      </c>
      <c r="D355" s="13" t="str">
        <f>"230702207113"</f>
        <v>230702207113</v>
      </c>
      <c r="E355" s="18">
        <v>80.675</v>
      </c>
      <c r="F355" s="19" t="s">
        <v>10</v>
      </c>
      <c r="G355" s="19" t="s">
        <v>10</v>
      </c>
      <c r="H355" s="11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  <c r="CO355" s="20"/>
      <c r="CP355" s="20"/>
      <c r="CQ355" s="20"/>
      <c r="CR355" s="20"/>
      <c r="CS355" s="20"/>
      <c r="CT355" s="20"/>
      <c r="CU355" s="20"/>
      <c r="CV355" s="20"/>
      <c r="CW355" s="20"/>
      <c r="CX355" s="20"/>
      <c r="CY355" s="20"/>
      <c r="CZ355" s="20"/>
      <c r="DA355" s="20"/>
      <c r="DB355" s="20"/>
      <c r="DC355" s="20"/>
      <c r="DD355" s="20"/>
      <c r="DE355" s="20"/>
      <c r="DF355" s="20"/>
      <c r="DG355" s="20"/>
      <c r="DH355" s="20"/>
      <c r="DI355" s="20"/>
      <c r="DJ355" s="20"/>
      <c r="DK355" s="20"/>
      <c r="DL355" s="20"/>
      <c r="DM355" s="20"/>
      <c r="DN355" s="20"/>
      <c r="DO355" s="20"/>
      <c r="DP355" s="20"/>
      <c r="DQ355" s="20"/>
      <c r="DR355" s="20"/>
      <c r="DS355" s="20"/>
      <c r="DT355" s="20"/>
      <c r="DU355" s="20"/>
      <c r="DV355" s="20"/>
      <c r="DW355" s="20"/>
      <c r="DX355" s="20"/>
      <c r="DY355" s="20"/>
      <c r="DZ355" s="20"/>
      <c r="EA355" s="20"/>
      <c r="EB355" s="20"/>
      <c r="EC355" s="20"/>
      <c r="ED355" s="20"/>
      <c r="EE355" s="20"/>
      <c r="EF355" s="20"/>
      <c r="EG355" s="20"/>
      <c r="EH355" s="20"/>
      <c r="EI355" s="20"/>
      <c r="EJ355" s="20"/>
      <c r="EK355" s="20"/>
      <c r="EL355" s="20"/>
      <c r="EM355" s="20"/>
      <c r="EN355" s="20"/>
      <c r="EO355" s="20"/>
      <c r="EP355" s="20"/>
      <c r="EQ355" s="20"/>
      <c r="ER355" s="20"/>
      <c r="ES355" s="20"/>
      <c r="ET355" s="20"/>
      <c r="EU355" s="20"/>
      <c r="EV355" s="20"/>
      <c r="EW355" s="20"/>
      <c r="EX355" s="20"/>
      <c r="EY355" s="20"/>
      <c r="EZ355" s="20"/>
      <c r="FA355" s="20"/>
      <c r="FB355" s="20"/>
      <c r="FC355" s="20"/>
      <c r="FD355" s="20"/>
      <c r="FE355" s="20"/>
      <c r="FF355" s="20"/>
      <c r="FG355" s="20"/>
      <c r="FH355" s="20"/>
      <c r="FI355" s="20"/>
      <c r="FJ355" s="20"/>
      <c r="FK355" s="20"/>
      <c r="FL355" s="20"/>
      <c r="FM355" s="20"/>
      <c r="FN355" s="20"/>
      <c r="FO355" s="20"/>
      <c r="FP355" s="20"/>
      <c r="FQ355" s="20"/>
      <c r="FR355" s="20"/>
      <c r="FS355" s="20"/>
      <c r="FT355" s="20"/>
      <c r="FU355" s="20"/>
      <c r="FV355" s="20"/>
      <c r="FW355" s="20"/>
      <c r="FX355" s="20"/>
      <c r="FY355" s="20"/>
      <c r="FZ355" s="20"/>
      <c r="GA355" s="20"/>
      <c r="GB355" s="20"/>
      <c r="GC355" s="20"/>
      <c r="GD355" s="20"/>
      <c r="GE355" s="20"/>
      <c r="GF355" s="20"/>
      <c r="GG355" s="20"/>
      <c r="GH355" s="20"/>
      <c r="GI355" s="20"/>
      <c r="GJ355" s="20"/>
      <c r="GK355" s="20"/>
      <c r="GL355" s="20"/>
      <c r="GM355" s="20"/>
      <c r="GN355" s="20"/>
      <c r="GO355" s="20"/>
      <c r="GP355" s="20"/>
      <c r="GQ355" s="20"/>
      <c r="GR355" s="21"/>
      <c r="GS355" s="21"/>
      <c r="GT355" s="21"/>
      <c r="GU355" s="21"/>
      <c r="GV355" s="21"/>
      <c r="GW355" s="21"/>
      <c r="GX355" s="21"/>
      <c r="GY355" s="21"/>
      <c r="GZ355" s="21"/>
      <c r="HA355" s="21"/>
      <c r="HB355" s="21"/>
      <c r="HC355" s="21"/>
      <c r="HD355" s="21"/>
      <c r="HE355" s="21"/>
      <c r="HF355" s="21"/>
      <c r="HG355" s="21"/>
      <c r="HH355" s="21"/>
      <c r="HI355" s="21"/>
      <c r="HJ355" s="21"/>
      <c r="HK355" s="21"/>
      <c r="HL355" s="21"/>
      <c r="HM355" s="21"/>
      <c r="HN355" s="21"/>
      <c r="HO355" s="21"/>
      <c r="HP355" s="21"/>
      <c r="HQ355" s="21"/>
      <c r="HR355" s="21"/>
      <c r="HS355" s="21"/>
      <c r="HT355" s="21"/>
      <c r="HU355" s="21"/>
      <c r="HV355" s="21"/>
      <c r="HW355" s="21"/>
      <c r="HX355" s="21"/>
      <c r="HY355" s="21"/>
      <c r="HZ355" s="21"/>
      <c r="IA355" s="21"/>
      <c r="IB355" s="21"/>
      <c r="IC355" s="21"/>
      <c r="ID355" s="21"/>
      <c r="IE355" s="21"/>
      <c r="IF355" s="21"/>
      <c r="IG355" s="21"/>
      <c r="IH355" s="21"/>
      <c r="II355" s="21"/>
      <c r="IJ355" s="21"/>
      <c r="IK355" s="21"/>
      <c r="IL355" s="21"/>
      <c r="IM355" s="21"/>
      <c r="IN355" s="21"/>
      <c r="IO355" s="21"/>
      <c r="IP355" s="21"/>
      <c r="IQ355" s="21"/>
      <c r="IR355" s="21"/>
      <c r="IS355" s="21"/>
      <c r="IT355" s="21"/>
    </row>
    <row r="356" spans="1:254" s="2" customFormat="1" ht="24.75" customHeight="1">
      <c r="A356" s="11">
        <v>354</v>
      </c>
      <c r="B356" s="12" t="str">
        <f>"林道强"</f>
        <v>林道强</v>
      </c>
      <c r="C356" s="13" t="s">
        <v>29</v>
      </c>
      <c r="D356" s="13" t="str">
        <f>"230702207501"</f>
        <v>230702207501</v>
      </c>
      <c r="E356" s="18">
        <v>77.45</v>
      </c>
      <c r="F356" s="19" t="s">
        <v>10</v>
      </c>
      <c r="G356" s="19" t="s">
        <v>10</v>
      </c>
      <c r="H356" s="11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0"/>
      <c r="CP356" s="20"/>
      <c r="CQ356" s="20"/>
      <c r="CR356" s="20"/>
      <c r="CS356" s="20"/>
      <c r="CT356" s="20"/>
      <c r="CU356" s="20"/>
      <c r="CV356" s="20"/>
      <c r="CW356" s="20"/>
      <c r="CX356" s="20"/>
      <c r="CY356" s="20"/>
      <c r="CZ356" s="20"/>
      <c r="DA356" s="20"/>
      <c r="DB356" s="20"/>
      <c r="DC356" s="20"/>
      <c r="DD356" s="20"/>
      <c r="DE356" s="20"/>
      <c r="DF356" s="20"/>
      <c r="DG356" s="20"/>
      <c r="DH356" s="20"/>
      <c r="DI356" s="20"/>
      <c r="DJ356" s="20"/>
      <c r="DK356" s="20"/>
      <c r="DL356" s="20"/>
      <c r="DM356" s="20"/>
      <c r="DN356" s="20"/>
      <c r="DO356" s="20"/>
      <c r="DP356" s="20"/>
      <c r="DQ356" s="20"/>
      <c r="DR356" s="20"/>
      <c r="DS356" s="20"/>
      <c r="DT356" s="20"/>
      <c r="DU356" s="20"/>
      <c r="DV356" s="20"/>
      <c r="DW356" s="20"/>
      <c r="DX356" s="20"/>
      <c r="DY356" s="20"/>
      <c r="DZ356" s="20"/>
      <c r="EA356" s="20"/>
      <c r="EB356" s="20"/>
      <c r="EC356" s="20"/>
      <c r="ED356" s="20"/>
      <c r="EE356" s="20"/>
      <c r="EF356" s="20"/>
      <c r="EG356" s="20"/>
      <c r="EH356" s="20"/>
      <c r="EI356" s="20"/>
      <c r="EJ356" s="20"/>
      <c r="EK356" s="20"/>
      <c r="EL356" s="20"/>
      <c r="EM356" s="20"/>
      <c r="EN356" s="20"/>
      <c r="EO356" s="20"/>
      <c r="EP356" s="20"/>
      <c r="EQ356" s="20"/>
      <c r="ER356" s="20"/>
      <c r="ES356" s="20"/>
      <c r="ET356" s="20"/>
      <c r="EU356" s="20"/>
      <c r="EV356" s="20"/>
      <c r="EW356" s="20"/>
      <c r="EX356" s="20"/>
      <c r="EY356" s="20"/>
      <c r="EZ356" s="20"/>
      <c r="FA356" s="20"/>
      <c r="FB356" s="20"/>
      <c r="FC356" s="20"/>
      <c r="FD356" s="20"/>
      <c r="FE356" s="20"/>
      <c r="FF356" s="20"/>
      <c r="FG356" s="20"/>
      <c r="FH356" s="20"/>
      <c r="FI356" s="20"/>
      <c r="FJ356" s="20"/>
      <c r="FK356" s="20"/>
      <c r="FL356" s="20"/>
      <c r="FM356" s="20"/>
      <c r="FN356" s="20"/>
      <c r="FO356" s="20"/>
      <c r="FP356" s="20"/>
      <c r="FQ356" s="20"/>
      <c r="FR356" s="20"/>
      <c r="FS356" s="20"/>
      <c r="FT356" s="20"/>
      <c r="FU356" s="20"/>
      <c r="FV356" s="20"/>
      <c r="FW356" s="20"/>
      <c r="FX356" s="20"/>
      <c r="FY356" s="20"/>
      <c r="FZ356" s="20"/>
      <c r="GA356" s="20"/>
      <c r="GB356" s="20"/>
      <c r="GC356" s="20"/>
      <c r="GD356" s="20"/>
      <c r="GE356" s="20"/>
      <c r="GF356" s="20"/>
      <c r="GG356" s="20"/>
      <c r="GH356" s="20"/>
      <c r="GI356" s="20"/>
      <c r="GJ356" s="20"/>
      <c r="GK356" s="20"/>
      <c r="GL356" s="20"/>
      <c r="GM356" s="20"/>
      <c r="GN356" s="20"/>
      <c r="GO356" s="20"/>
      <c r="GP356" s="20"/>
      <c r="GQ356" s="20"/>
      <c r="GR356" s="21"/>
      <c r="GS356" s="21"/>
      <c r="GT356" s="21"/>
      <c r="GU356" s="21"/>
      <c r="GV356" s="21"/>
      <c r="GW356" s="21"/>
      <c r="GX356" s="21"/>
      <c r="GY356" s="21"/>
      <c r="GZ356" s="21"/>
      <c r="HA356" s="21"/>
      <c r="HB356" s="21"/>
      <c r="HC356" s="21"/>
      <c r="HD356" s="21"/>
      <c r="HE356" s="21"/>
      <c r="HF356" s="21"/>
      <c r="HG356" s="21"/>
      <c r="HH356" s="21"/>
      <c r="HI356" s="21"/>
      <c r="HJ356" s="21"/>
      <c r="HK356" s="21"/>
      <c r="HL356" s="21"/>
      <c r="HM356" s="21"/>
      <c r="HN356" s="21"/>
      <c r="HO356" s="21"/>
      <c r="HP356" s="21"/>
      <c r="HQ356" s="21"/>
      <c r="HR356" s="21"/>
      <c r="HS356" s="21"/>
      <c r="HT356" s="21"/>
      <c r="HU356" s="21"/>
      <c r="HV356" s="21"/>
      <c r="HW356" s="21"/>
      <c r="HX356" s="21"/>
      <c r="HY356" s="21"/>
      <c r="HZ356" s="21"/>
      <c r="IA356" s="21"/>
      <c r="IB356" s="21"/>
      <c r="IC356" s="21"/>
      <c r="ID356" s="21"/>
      <c r="IE356" s="21"/>
      <c r="IF356" s="21"/>
      <c r="IG356" s="21"/>
      <c r="IH356" s="21"/>
      <c r="II356" s="21"/>
      <c r="IJ356" s="21"/>
      <c r="IK356" s="21"/>
      <c r="IL356" s="21"/>
      <c r="IM356" s="21"/>
      <c r="IN356" s="21"/>
      <c r="IO356" s="21"/>
      <c r="IP356" s="21"/>
      <c r="IQ356" s="21"/>
      <c r="IR356" s="21"/>
      <c r="IS356" s="21"/>
      <c r="IT356" s="21"/>
    </row>
    <row r="357" spans="1:254" s="2" customFormat="1" ht="24.75" customHeight="1">
      <c r="A357" s="11">
        <v>355</v>
      </c>
      <c r="B357" s="12" t="str">
        <f>"陈源孝"</f>
        <v>陈源孝</v>
      </c>
      <c r="C357" s="13" t="s">
        <v>29</v>
      </c>
      <c r="D357" s="13" t="str">
        <f>"230702206729"</f>
        <v>230702206729</v>
      </c>
      <c r="E357" s="18">
        <v>76.34</v>
      </c>
      <c r="F357" s="19" t="s">
        <v>10</v>
      </c>
      <c r="G357" s="19" t="s">
        <v>10</v>
      </c>
      <c r="H357" s="11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0"/>
      <c r="CP357" s="20"/>
      <c r="CQ357" s="20"/>
      <c r="CR357" s="20"/>
      <c r="CS357" s="20"/>
      <c r="CT357" s="20"/>
      <c r="CU357" s="20"/>
      <c r="CV357" s="20"/>
      <c r="CW357" s="20"/>
      <c r="CX357" s="20"/>
      <c r="CY357" s="20"/>
      <c r="CZ357" s="20"/>
      <c r="DA357" s="20"/>
      <c r="DB357" s="20"/>
      <c r="DC357" s="20"/>
      <c r="DD357" s="20"/>
      <c r="DE357" s="20"/>
      <c r="DF357" s="20"/>
      <c r="DG357" s="20"/>
      <c r="DH357" s="20"/>
      <c r="DI357" s="20"/>
      <c r="DJ357" s="20"/>
      <c r="DK357" s="20"/>
      <c r="DL357" s="20"/>
      <c r="DM357" s="20"/>
      <c r="DN357" s="20"/>
      <c r="DO357" s="20"/>
      <c r="DP357" s="20"/>
      <c r="DQ357" s="20"/>
      <c r="DR357" s="20"/>
      <c r="DS357" s="20"/>
      <c r="DT357" s="20"/>
      <c r="DU357" s="20"/>
      <c r="DV357" s="20"/>
      <c r="DW357" s="20"/>
      <c r="DX357" s="20"/>
      <c r="DY357" s="20"/>
      <c r="DZ357" s="20"/>
      <c r="EA357" s="20"/>
      <c r="EB357" s="20"/>
      <c r="EC357" s="20"/>
      <c r="ED357" s="20"/>
      <c r="EE357" s="20"/>
      <c r="EF357" s="20"/>
      <c r="EG357" s="20"/>
      <c r="EH357" s="20"/>
      <c r="EI357" s="20"/>
      <c r="EJ357" s="20"/>
      <c r="EK357" s="20"/>
      <c r="EL357" s="20"/>
      <c r="EM357" s="20"/>
      <c r="EN357" s="20"/>
      <c r="EO357" s="20"/>
      <c r="EP357" s="20"/>
      <c r="EQ357" s="20"/>
      <c r="ER357" s="20"/>
      <c r="ES357" s="20"/>
      <c r="ET357" s="20"/>
      <c r="EU357" s="20"/>
      <c r="EV357" s="20"/>
      <c r="EW357" s="20"/>
      <c r="EX357" s="20"/>
      <c r="EY357" s="20"/>
      <c r="EZ357" s="20"/>
      <c r="FA357" s="20"/>
      <c r="FB357" s="20"/>
      <c r="FC357" s="20"/>
      <c r="FD357" s="20"/>
      <c r="FE357" s="20"/>
      <c r="FF357" s="20"/>
      <c r="FG357" s="20"/>
      <c r="FH357" s="20"/>
      <c r="FI357" s="20"/>
      <c r="FJ357" s="20"/>
      <c r="FK357" s="20"/>
      <c r="FL357" s="20"/>
      <c r="FM357" s="20"/>
      <c r="FN357" s="20"/>
      <c r="FO357" s="20"/>
      <c r="FP357" s="20"/>
      <c r="FQ357" s="20"/>
      <c r="FR357" s="20"/>
      <c r="FS357" s="20"/>
      <c r="FT357" s="20"/>
      <c r="FU357" s="20"/>
      <c r="FV357" s="20"/>
      <c r="FW357" s="20"/>
      <c r="FX357" s="20"/>
      <c r="FY357" s="20"/>
      <c r="FZ357" s="20"/>
      <c r="GA357" s="20"/>
      <c r="GB357" s="20"/>
      <c r="GC357" s="20"/>
      <c r="GD357" s="20"/>
      <c r="GE357" s="20"/>
      <c r="GF357" s="20"/>
      <c r="GG357" s="20"/>
      <c r="GH357" s="20"/>
      <c r="GI357" s="20"/>
      <c r="GJ357" s="20"/>
      <c r="GK357" s="20"/>
      <c r="GL357" s="20"/>
      <c r="GM357" s="20"/>
      <c r="GN357" s="20"/>
      <c r="GO357" s="20"/>
      <c r="GP357" s="20"/>
      <c r="GQ357" s="20"/>
      <c r="GR357" s="21"/>
      <c r="GS357" s="21"/>
      <c r="GT357" s="21"/>
      <c r="GU357" s="21"/>
      <c r="GV357" s="21"/>
      <c r="GW357" s="21"/>
      <c r="GX357" s="21"/>
      <c r="GY357" s="21"/>
      <c r="GZ357" s="21"/>
      <c r="HA357" s="21"/>
      <c r="HB357" s="21"/>
      <c r="HC357" s="21"/>
      <c r="HD357" s="21"/>
      <c r="HE357" s="21"/>
      <c r="HF357" s="21"/>
      <c r="HG357" s="21"/>
      <c r="HH357" s="21"/>
      <c r="HI357" s="21"/>
      <c r="HJ357" s="21"/>
      <c r="HK357" s="21"/>
      <c r="HL357" s="21"/>
      <c r="HM357" s="21"/>
      <c r="HN357" s="21"/>
      <c r="HO357" s="21"/>
      <c r="HP357" s="21"/>
      <c r="HQ357" s="21"/>
      <c r="HR357" s="21"/>
      <c r="HS357" s="21"/>
      <c r="HT357" s="21"/>
      <c r="HU357" s="21"/>
      <c r="HV357" s="21"/>
      <c r="HW357" s="21"/>
      <c r="HX357" s="21"/>
      <c r="HY357" s="21"/>
      <c r="HZ357" s="21"/>
      <c r="IA357" s="21"/>
      <c r="IB357" s="21"/>
      <c r="IC357" s="21"/>
      <c r="ID357" s="21"/>
      <c r="IE357" s="21"/>
      <c r="IF357" s="21"/>
      <c r="IG357" s="21"/>
      <c r="IH357" s="21"/>
      <c r="II357" s="21"/>
      <c r="IJ357" s="21"/>
      <c r="IK357" s="21"/>
      <c r="IL357" s="21"/>
      <c r="IM357" s="21"/>
      <c r="IN357" s="21"/>
      <c r="IO357" s="21"/>
      <c r="IP357" s="21"/>
      <c r="IQ357" s="21"/>
      <c r="IR357" s="21"/>
      <c r="IS357" s="21"/>
      <c r="IT357" s="21"/>
    </row>
    <row r="358" spans="1:254" s="2" customFormat="1" ht="24.75" customHeight="1">
      <c r="A358" s="11">
        <v>356</v>
      </c>
      <c r="B358" s="12" t="str">
        <f>"温洲"</f>
        <v>温洲</v>
      </c>
      <c r="C358" s="13" t="s">
        <v>29</v>
      </c>
      <c r="D358" s="13" t="str">
        <f>"230702206420"</f>
        <v>230702206420</v>
      </c>
      <c r="E358" s="18">
        <v>72.95</v>
      </c>
      <c r="F358" s="19" t="s">
        <v>10</v>
      </c>
      <c r="G358" s="19" t="s">
        <v>10</v>
      </c>
      <c r="H358" s="11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0"/>
      <c r="CP358" s="20"/>
      <c r="CQ358" s="20"/>
      <c r="CR358" s="20"/>
      <c r="CS358" s="20"/>
      <c r="CT358" s="20"/>
      <c r="CU358" s="20"/>
      <c r="CV358" s="20"/>
      <c r="CW358" s="20"/>
      <c r="CX358" s="20"/>
      <c r="CY358" s="20"/>
      <c r="CZ358" s="20"/>
      <c r="DA358" s="20"/>
      <c r="DB358" s="20"/>
      <c r="DC358" s="20"/>
      <c r="DD358" s="20"/>
      <c r="DE358" s="20"/>
      <c r="DF358" s="20"/>
      <c r="DG358" s="20"/>
      <c r="DH358" s="20"/>
      <c r="DI358" s="20"/>
      <c r="DJ358" s="20"/>
      <c r="DK358" s="20"/>
      <c r="DL358" s="20"/>
      <c r="DM358" s="20"/>
      <c r="DN358" s="20"/>
      <c r="DO358" s="20"/>
      <c r="DP358" s="20"/>
      <c r="DQ358" s="20"/>
      <c r="DR358" s="20"/>
      <c r="DS358" s="20"/>
      <c r="DT358" s="20"/>
      <c r="DU358" s="20"/>
      <c r="DV358" s="20"/>
      <c r="DW358" s="20"/>
      <c r="DX358" s="20"/>
      <c r="DY358" s="20"/>
      <c r="DZ358" s="20"/>
      <c r="EA358" s="20"/>
      <c r="EB358" s="20"/>
      <c r="EC358" s="20"/>
      <c r="ED358" s="20"/>
      <c r="EE358" s="20"/>
      <c r="EF358" s="20"/>
      <c r="EG358" s="20"/>
      <c r="EH358" s="20"/>
      <c r="EI358" s="20"/>
      <c r="EJ358" s="20"/>
      <c r="EK358" s="20"/>
      <c r="EL358" s="20"/>
      <c r="EM358" s="20"/>
      <c r="EN358" s="20"/>
      <c r="EO358" s="20"/>
      <c r="EP358" s="20"/>
      <c r="EQ358" s="20"/>
      <c r="ER358" s="20"/>
      <c r="ES358" s="20"/>
      <c r="ET358" s="20"/>
      <c r="EU358" s="20"/>
      <c r="EV358" s="20"/>
      <c r="EW358" s="20"/>
      <c r="EX358" s="20"/>
      <c r="EY358" s="20"/>
      <c r="EZ358" s="20"/>
      <c r="FA358" s="20"/>
      <c r="FB358" s="20"/>
      <c r="FC358" s="20"/>
      <c r="FD358" s="20"/>
      <c r="FE358" s="20"/>
      <c r="FF358" s="20"/>
      <c r="FG358" s="20"/>
      <c r="FH358" s="20"/>
      <c r="FI358" s="20"/>
      <c r="FJ358" s="20"/>
      <c r="FK358" s="20"/>
      <c r="FL358" s="20"/>
      <c r="FM358" s="20"/>
      <c r="FN358" s="20"/>
      <c r="FO358" s="20"/>
      <c r="FP358" s="20"/>
      <c r="FQ358" s="20"/>
      <c r="FR358" s="20"/>
      <c r="FS358" s="20"/>
      <c r="FT358" s="20"/>
      <c r="FU358" s="20"/>
      <c r="FV358" s="20"/>
      <c r="FW358" s="20"/>
      <c r="FX358" s="20"/>
      <c r="FY358" s="20"/>
      <c r="FZ358" s="20"/>
      <c r="GA358" s="20"/>
      <c r="GB358" s="20"/>
      <c r="GC358" s="20"/>
      <c r="GD358" s="20"/>
      <c r="GE358" s="20"/>
      <c r="GF358" s="20"/>
      <c r="GG358" s="20"/>
      <c r="GH358" s="20"/>
      <c r="GI358" s="20"/>
      <c r="GJ358" s="20"/>
      <c r="GK358" s="20"/>
      <c r="GL358" s="20"/>
      <c r="GM358" s="20"/>
      <c r="GN358" s="20"/>
      <c r="GO358" s="20"/>
      <c r="GP358" s="20"/>
      <c r="GQ358" s="20"/>
      <c r="GR358" s="21"/>
      <c r="GS358" s="21"/>
      <c r="GT358" s="21"/>
      <c r="GU358" s="21"/>
      <c r="GV358" s="21"/>
      <c r="GW358" s="21"/>
      <c r="GX358" s="21"/>
      <c r="GY358" s="21"/>
      <c r="GZ358" s="21"/>
      <c r="HA358" s="21"/>
      <c r="HB358" s="21"/>
      <c r="HC358" s="21"/>
      <c r="HD358" s="21"/>
      <c r="HE358" s="21"/>
      <c r="HF358" s="21"/>
      <c r="HG358" s="21"/>
      <c r="HH358" s="21"/>
      <c r="HI358" s="21"/>
      <c r="HJ358" s="21"/>
      <c r="HK358" s="21"/>
      <c r="HL358" s="21"/>
      <c r="HM358" s="21"/>
      <c r="HN358" s="21"/>
      <c r="HO358" s="21"/>
      <c r="HP358" s="21"/>
      <c r="HQ358" s="21"/>
      <c r="HR358" s="21"/>
      <c r="HS358" s="21"/>
      <c r="HT358" s="21"/>
      <c r="HU358" s="21"/>
      <c r="HV358" s="21"/>
      <c r="HW358" s="21"/>
      <c r="HX358" s="21"/>
      <c r="HY358" s="21"/>
      <c r="HZ358" s="21"/>
      <c r="IA358" s="21"/>
      <c r="IB358" s="21"/>
      <c r="IC358" s="21"/>
      <c r="ID358" s="21"/>
      <c r="IE358" s="21"/>
      <c r="IF358" s="21"/>
      <c r="IG358" s="21"/>
      <c r="IH358" s="21"/>
      <c r="II358" s="21"/>
      <c r="IJ358" s="21"/>
      <c r="IK358" s="21"/>
      <c r="IL358" s="21"/>
      <c r="IM358" s="21"/>
      <c r="IN358" s="21"/>
      <c r="IO358" s="21"/>
      <c r="IP358" s="21"/>
      <c r="IQ358" s="21"/>
      <c r="IR358" s="21"/>
      <c r="IS358" s="21"/>
      <c r="IT358" s="21"/>
    </row>
    <row r="359" spans="1:254" s="2" customFormat="1" ht="24.75" customHeight="1">
      <c r="A359" s="11">
        <v>357</v>
      </c>
      <c r="B359" s="12" t="str">
        <f>"梁敬源"</f>
        <v>梁敬源</v>
      </c>
      <c r="C359" s="13" t="s">
        <v>29</v>
      </c>
      <c r="D359" s="13" t="str">
        <f>"230702206605"</f>
        <v>230702206605</v>
      </c>
      <c r="E359" s="18">
        <v>71.995</v>
      </c>
      <c r="F359" s="19" t="s">
        <v>10</v>
      </c>
      <c r="G359" s="19" t="s">
        <v>10</v>
      </c>
      <c r="H359" s="11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0"/>
      <c r="CP359" s="20"/>
      <c r="CQ359" s="20"/>
      <c r="CR359" s="20"/>
      <c r="CS359" s="20"/>
      <c r="CT359" s="20"/>
      <c r="CU359" s="20"/>
      <c r="CV359" s="20"/>
      <c r="CW359" s="20"/>
      <c r="CX359" s="20"/>
      <c r="CY359" s="20"/>
      <c r="CZ359" s="20"/>
      <c r="DA359" s="20"/>
      <c r="DB359" s="20"/>
      <c r="DC359" s="20"/>
      <c r="DD359" s="20"/>
      <c r="DE359" s="20"/>
      <c r="DF359" s="20"/>
      <c r="DG359" s="20"/>
      <c r="DH359" s="20"/>
      <c r="DI359" s="20"/>
      <c r="DJ359" s="20"/>
      <c r="DK359" s="20"/>
      <c r="DL359" s="20"/>
      <c r="DM359" s="20"/>
      <c r="DN359" s="20"/>
      <c r="DO359" s="20"/>
      <c r="DP359" s="20"/>
      <c r="DQ359" s="20"/>
      <c r="DR359" s="20"/>
      <c r="DS359" s="20"/>
      <c r="DT359" s="20"/>
      <c r="DU359" s="20"/>
      <c r="DV359" s="20"/>
      <c r="DW359" s="20"/>
      <c r="DX359" s="20"/>
      <c r="DY359" s="20"/>
      <c r="DZ359" s="20"/>
      <c r="EA359" s="20"/>
      <c r="EB359" s="20"/>
      <c r="EC359" s="20"/>
      <c r="ED359" s="20"/>
      <c r="EE359" s="20"/>
      <c r="EF359" s="20"/>
      <c r="EG359" s="20"/>
      <c r="EH359" s="20"/>
      <c r="EI359" s="20"/>
      <c r="EJ359" s="20"/>
      <c r="EK359" s="20"/>
      <c r="EL359" s="20"/>
      <c r="EM359" s="20"/>
      <c r="EN359" s="20"/>
      <c r="EO359" s="20"/>
      <c r="EP359" s="20"/>
      <c r="EQ359" s="20"/>
      <c r="ER359" s="20"/>
      <c r="ES359" s="20"/>
      <c r="ET359" s="20"/>
      <c r="EU359" s="20"/>
      <c r="EV359" s="20"/>
      <c r="EW359" s="20"/>
      <c r="EX359" s="20"/>
      <c r="EY359" s="20"/>
      <c r="EZ359" s="20"/>
      <c r="FA359" s="20"/>
      <c r="FB359" s="20"/>
      <c r="FC359" s="20"/>
      <c r="FD359" s="20"/>
      <c r="FE359" s="20"/>
      <c r="FF359" s="20"/>
      <c r="FG359" s="20"/>
      <c r="FH359" s="20"/>
      <c r="FI359" s="20"/>
      <c r="FJ359" s="20"/>
      <c r="FK359" s="20"/>
      <c r="FL359" s="20"/>
      <c r="FM359" s="20"/>
      <c r="FN359" s="20"/>
      <c r="FO359" s="20"/>
      <c r="FP359" s="20"/>
      <c r="FQ359" s="20"/>
      <c r="FR359" s="20"/>
      <c r="FS359" s="20"/>
      <c r="FT359" s="20"/>
      <c r="FU359" s="20"/>
      <c r="FV359" s="20"/>
      <c r="FW359" s="20"/>
      <c r="FX359" s="20"/>
      <c r="FY359" s="20"/>
      <c r="FZ359" s="20"/>
      <c r="GA359" s="20"/>
      <c r="GB359" s="20"/>
      <c r="GC359" s="20"/>
      <c r="GD359" s="20"/>
      <c r="GE359" s="20"/>
      <c r="GF359" s="20"/>
      <c r="GG359" s="20"/>
      <c r="GH359" s="20"/>
      <c r="GI359" s="20"/>
      <c r="GJ359" s="20"/>
      <c r="GK359" s="20"/>
      <c r="GL359" s="20"/>
      <c r="GM359" s="20"/>
      <c r="GN359" s="20"/>
      <c r="GO359" s="20"/>
      <c r="GP359" s="20"/>
      <c r="GQ359" s="20"/>
      <c r="GR359" s="21"/>
      <c r="GS359" s="21"/>
      <c r="GT359" s="21"/>
      <c r="GU359" s="21"/>
      <c r="GV359" s="21"/>
      <c r="GW359" s="21"/>
      <c r="GX359" s="21"/>
      <c r="GY359" s="21"/>
      <c r="GZ359" s="21"/>
      <c r="HA359" s="21"/>
      <c r="HB359" s="21"/>
      <c r="HC359" s="21"/>
      <c r="HD359" s="21"/>
      <c r="HE359" s="21"/>
      <c r="HF359" s="21"/>
      <c r="HG359" s="21"/>
      <c r="HH359" s="21"/>
      <c r="HI359" s="21"/>
      <c r="HJ359" s="21"/>
      <c r="HK359" s="21"/>
      <c r="HL359" s="21"/>
      <c r="HM359" s="21"/>
      <c r="HN359" s="21"/>
      <c r="HO359" s="21"/>
      <c r="HP359" s="21"/>
      <c r="HQ359" s="21"/>
      <c r="HR359" s="21"/>
      <c r="HS359" s="21"/>
      <c r="HT359" s="21"/>
      <c r="HU359" s="21"/>
      <c r="HV359" s="21"/>
      <c r="HW359" s="21"/>
      <c r="HX359" s="21"/>
      <c r="HY359" s="21"/>
      <c r="HZ359" s="21"/>
      <c r="IA359" s="21"/>
      <c r="IB359" s="21"/>
      <c r="IC359" s="21"/>
      <c r="ID359" s="21"/>
      <c r="IE359" s="21"/>
      <c r="IF359" s="21"/>
      <c r="IG359" s="21"/>
      <c r="IH359" s="21"/>
      <c r="II359" s="21"/>
      <c r="IJ359" s="21"/>
      <c r="IK359" s="21"/>
      <c r="IL359" s="21"/>
      <c r="IM359" s="21"/>
      <c r="IN359" s="21"/>
      <c r="IO359" s="21"/>
      <c r="IP359" s="21"/>
      <c r="IQ359" s="21"/>
      <c r="IR359" s="21"/>
      <c r="IS359" s="21"/>
      <c r="IT359" s="21"/>
    </row>
    <row r="360" spans="1:254" s="2" customFormat="1" ht="24.75" customHeight="1">
      <c r="A360" s="11">
        <v>358</v>
      </c>
      <c r="B360" s="12" t="str">
        <f>"陈辉煌"</f>
        <v>陈辉煌</v>
      </c>
      <c r="C360" s="13" t="s">
        <v>29</v>
      </c>
      <c r="D360" s="13" t="str">
        <f>"230702206920"</f>
        <v>230702206920</v>
      </c>
      <c r="E360" s="18">
        <v>71.91499999999999</v>
      </c>
      <c r="F360" s="19" t="s">
        <v>10</v>
      </c>
      <c r="G360" s="19" t="s">
        <v>10</v>
      </c>
      <c r="H360" s="11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  <c r="CW360" s="20"/>
      <c r="CX360" s="20"/>
      <c r="CY360" s="20"/>
      <c r="CZ360" s="20"/>
      <c r="DA360" s="20"/>
      <c r="DB360" s="20"/>
      <c r="DC360" s="20"/>
      <c r="DD360" s="20"/>
      <c r="DE360" s="20"/>
      <c r="DF360" s="20"/>
      <c r="DG360" s="20"/>
      <c r="DH360" s="20"/>
      <c r="DI360" s="20"/>
      <c r="DJ360" s="20"/>
      <c r="DK360" s="20"/>
      <c r="DL360" s="20"/>
      <c r="DM360" s="20"/>
      <c r="DN360" s="20"/>
      <c r="DO360" s="20"/>
      <c r="DP360" s="20"/>
      <c r="DQ360" s="20"/>
      <c r="DR360" s="20"/>
      <c r="DS360" s="20"/>
      <c r="DT360" s="20"/>
      <c r="DU360" s="20"/>
      <c r="DV360" s="20"/>
      <c r="DW360" s="20"/>
      <c r="DX360" s="20"/>
      <c r="DY360" s="20"/>
      <c r="DZ360" s="20"/>
      <c r="EA360" s="20"/>
      <c r="EB360" s="20"/>
      <c r="EC360" s="20"/>
      <c r="ED360" s="20"/>
      <c r="EE360" s="20"/>
      <c r="EF360" s="20"/>
      <c r="EG360" s="20"/>
      <c r="EH360" s="20"/>
      <c r="EI360" s="20"/>
      <c r="EJ360" s="20"/>
      <c r="EK360" s="20"/>
      <c r="EL360" s="20"/>
      <c r="EM360" s="20"/>
      <c r="EN360" s="20"/>
      <c r="EO360" s="20"/>
      <c r="EP360" s="20"/>
      <c r="EQ360" s="20"/>
      <c r="ER360" s="20"/>
      <c r="ES360" s="20"/>
      <c r="ET360" s="20"/>
      <c r="EU360" s="20"/>
      <c r="EV360" s="20"/>
      <c r="EW360" s="20"/>
      <c r="EX360" s="20"/>
      <c r="EY360" s="20"/>
      <c r="EZ360" s="20"/>
      <c r="FA360" s="20"/>
      <c r="FB360" s="20"/>
      <c r="FC360" s="20"/>
      <c r="FD360" s="20"/>
      <c r="FE360" s="20"/>
      <c r="FF360" s="20"/>
      <c r="FG360" s="20"/>
      <c r="FH360" s="20"/>
      <c r="FI360" s="20"/>
      <c r="FJ360" s="20"/>
      <c r="FK360" s="20"/>
      <c r="FL360" s="20"/>
      <c r="FM360" s="20"/>
      <c r="FN360" s="20"/>
      <c r="FO360" s="20"/>
      <c r="FP360" s="20"/>
      <c r="FQ360" s="20"/>
      <c r="FR360" s="20"/>
      <c r="FS360" s="20"/>
      <c r="FT360" s="20"/>
      <c r="FU360" s="20"/>
      <c r="FV360" s="20"/>
      <c r="FW360" s="20"/>
      <c r="FX360" s="20"/>
      <c r="FY360" s="20"/>
      <c r="FZ360" s="20"/>
      <c r="GA360" s="20"/>
      <c r="GB360" s="20"/>
      <c r="GC360" s="20"/>
      <c r="GD360" s="20"/>
      <c r="GE360" s="20"/>
      <c r="GF360" s="20"/>
      <c r="GG360" s="20"/>
      <c r="GH360" s="20"/>
      <c r="GI360" s="20"/>
      <c r="GJ360" s="20"/>
      <c r="GK360" s="20"/>
      <c r="GL360" s="20"/>
      <c r="GM360" s="20"/>
      <c r="GN360" s="20"/>
      <c r="GO360" s="20"/>
      <c r="GP360" s="20"/>
      <c r="GQ360" s="20"/>
      <c r="GR360" s="21"/>
      <c r="GS360" s="21"/>
      <c r="GT360" s="21"/>
      <c r="GU360" s="21"/>
      <c r="GV360" s="21"/>
      <c r="GW360" s="21"/>
      <c r="GX360" s="21"/>
      <c r="GY360" s="21"/>
      <c r="GZ360" s="21"/>
      <c r="HA360" s="21"/>
      <c r="HB360" s="21"/>
      <c r="HC360" s="21"/>
      <c r="HD360" s="21"/>
      <c r="HE360" s="21"/>
      <c r="HF360" s="21"/>
      <c r="HG360" s="21"/>
      <c r="HH360" s="21"/>
      <c r="HI360" s="21"/>
      <c r="HJ360" s="21"/>
      <c r="HK360" s="21"/>
      <c r="HL360" s="21"/>
      <c r="HM360" s="21"/>
      <c r="HN360" s="21"/>
      <c r="HO360" s="21"/>
      <c r="HP360" s="21"/>
      <c r="HQ360" s="21"/>
      <c r="HR360" s="21"/>
      <c r="HS360" s="21"/>
      <c r="HT360" s="21"/>
      <c r="HU360" s="21"/>
      <c r="HV360" s="21"/>
      <c r="HW360" s="21"/>
      <c r="HX360" s="21"/>
      <c r="HY360" s="21"/>
      <c r="HZ360" s="21"/>
      <c r="IA360" s="21"/>
      <c r="IB360" s="21"/>
      <c r="IC360" s="21"/>
      <c r="ID360" s="21"/>
      <c r="IE360" s="21"/>
      <c r="IF360" s="21"/>
      <c r="IG360" s="21"/>
      <c r="IH360" s="21"/>
      <c r="II360" s="21"/>
      <c r="IJ360" s="21"/>
      <c r="IK360" s="21"/>
      <c r="IL360" s="21"/>
      <c r="IM360" s="21"/>
      <c r="IN360" s="21"/>
      <c r="IO360" s="21"/>
      <c r="IP360" s="21"/>
      <c r="IQ360" s="21"/>
      <c r="IR360" s="21"/>
      <c r="IS360" s="21"/>
      <c r="IT360" s="21"/>
    </row>
    <row r="361" spans="1:254" s="2" customFormat="1" ht="24.75" customHeight="1">
      <c r="A361" s="11">
        <v>359</v>
      </c>
      <c r="B361" s="12" t="str">
        <f>"王阳辉"</f>
        <v>王阳辉</v>
      </c>
      <c r="C361" s="13" t="s">
        <v>29</v>
      </c>
      <c r="D361" s="13" t="str">
        <f>"230702207106"</f>
        <v>230702207106</v>
      </c>
      <c r="E361" s="18">
        <v>71.225</v>
      </c>
      <c r="F361" s="19" t="s">
        <v>10</v>
      </c>
      <c r="G361" s="19" t="s">
        <v>10</v>
      </c>
      <c r="H361" s="11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  <c r="CO361" s="20"/>
      <c r="CP361" s="20"/>
      <c r="CQ361" s="20"/>
      <c r="CR361" s="20"/>
      <c r="CS361" s="20"/>
      <c r="CT361" s="20"/>
      <c r="CU361" s="20"/>
      <c r="CV361" s="20"/>
      <c r="CW361" s="20"/>
      <c r="CX361" s="20"/>
      <c r="CY361" s="20"/>
      <c r="CZ361" s="20"/>
      <c r="DA361" s="20"/>
      <c r="DB361" s="20"/>
      <c r="DC361" s="20"/>
      <c r="DD361" s="20"/>
      <c r="DE361" s="20"/>
      <c r="DF361" s="20"/>
      <c r="DG361" s="20"/>
      <c r="DH361" s="20"/>
      <c r="DI361" s="20"/>
      <c r="DJ361" s="20"/>
      <c r="DK361" s="20"/>
      <c r="DL361" s="20"/>
      <c r="DM361" s="20"/>
      <c r="DN361" s="20"/>
      <c r="DO361" s="20"/>
      <c r="DP361" s="20"/>
      <c r="DQ361" s="20"/>
      <c r="DR361" s="20"/>
      <c r="DS361" s="20"/>
      <c r="DT361" s="20"/>
      <c r="DU361" s="20"/>
      <c r="DV361" s="20"/>
      <c r="DW361" s="20"/>
      <c r="DX361" s="20"/>
      <c r="DY361" s="20"/>
      <c r="DZ361" s="20"/>
      <c r="EA361" s="20"/>
      <c r="EB361" s="20"/>
      <c r="EC361" s="20"/>
      <c r="ED361" s="20"/>
      <c r="EE361" s="20"/>
      <c r="EF361" s="20"/>
      <c r="EG361" s="20"/>
      <c r="EH361" s="20"/>
      <c r="EI361" s="20"/>
      <c r="EJ361" s="20"/>
      <c r="EK361" s="20"/>
      <c r="EL361" s="20"/>
      <c r="EM361" s="20"/>
      <c r="EN361" s="20"/>
      <c r="EO361" s="20"/>
      <c r="EP361" s="20"/>
      <c r="EQ361" s="20"/>
      <c r="ER361" s="20"/>
      <c r="ES361" s="20"/>
      <c r="ET361" s="20"/>
      <c r="EU361" s="20"/>
      <c r="EV361" s="20"/>
      <c r="EW361" s="20"/>
      <c r="EX361" s="20"/>
      <c r="EY361" s="20"/>
      <c r="EZ361" s="20"/>
      <c r="FA361" s="20"/>
      <c r="FB361" s="20"/>
      <c r="FC361" s="20"/>
      <c r="FD361" s="20"/>
      <c r="FE361" s="20"/>
      <c r="FF361" s="20"/>
      <c r="FG361" s="20"/>
      <c r="FH361" s="20"/>
      <c r="FI361" s="20"/>
      <c r="FJ361" s="20"/>
      <c r="FK361" s="20"/>
      <c r="FL361" s="20"/>
      <c r="FM361" s="20"/>
      <c r="FN361" s="20"/>
      <c r="FO361" s="20"/>
      <c r="FP361" s="20"/>
      <c r="FQ361" s="20"/>
      <c r="FR361" s="20"/>
      <c r="FS361" s="20"/>
      <c r="FT361" s="20"/>
      <c r="FU361" s="20"/>
      <c r="FV361" s="20"/>
      <c r="FW361" s="20"/>
      <c r="FX361" s="20"/>
      <c r="FY361" s="20"/>
      <c r="FZ361" s="20"/>
      <c r="GA361" s="20"/>
      <c r="GB361" s="20"/>
      <c r="GC361" s="20"/>
      <c r="GD361" s="20"/>
      <c r="GE361" s="20"/>
      <c r="GF361" s="20"/>
      <c r="GG361" s="20"/>
      <c r="GH361" s="20"/>
      <c r="GI361" s="20"/>
      <c r="GJ361" s="20"/>
      <c r="GK361" s="20"/>
      <c r="GL361" s="20"/>
      <c r="GM361" s="20"/>
      <c r="GN361" s="20"/>
      <c r="GO361" s="20"/>
      <c r="GP361" s="20"/>
      <c r="GQ361" s="20"/>
      <c r="GR361" s="21"/>
      <c r="GS361" s="21"/>
      <c r="GT361" s="21"/>
      <c r="GU361" s="21"/>
      <c r="GV361" s="21"/>
      <c r="GW361" s="21"/>
      <c r="GX361" s="21"/>
      <c r="GY361" s="21"/>
      <c r="GZ361" s="21"/>
      <c r="HA361" s="21"/>
      <c r="HB361" s="21"/>
      <c r="HC361" s="21"/>
      <c r="HD361" s="21"/>
      <c r="HE361" s="21"/>
      <c r="HF361" s="21"/>
      <c r="HG361" s="21"/>
      <c r="HH361" s="21"/>
      <c r="HI361" s="21"/>
      <c r="HJ361" s="21"/>
      <c r="HK361" s="21"/>
      <c r="HL361" s="21"/>
      <c r="HM361" s="21"/>
      <c r="HN361" s="21"/>
      <c r="HO361" s="21"/>
      <c r="HP361" s="21"/>
      <c r="HQ361" s="21"/>
      <c r="HR361" s="21"/>
      <c r="HS361" s="21"/>
      <c r="HT361" s="21"/>
      <c r="HU361" s="21"/>
      <c r="HV361" s="21"/>
      <c r="HW361" s="21"/>
      <c r="HX361" s="21"/>
      <c r="HY361" s="21"/>
      <c r="HZ361" s="21"/>
      <c r="IA361" s="21"/>
      <c r="IB361" s="21"/>
      <c r="IC361" s="21"/>
      <c r="ID361" s="21"/>
      <c r="IE361" s="21"/>
      <c r="IF361" s="21"/>
      <c r="IG361" s="21"/>
      <c r="IH361" s="21"/>
      <c r="II361" s="21"/>
      <c r="IJ361" s="21"/>
      <c r="IK361" s="21"/>
      <c r="IL361" s="21"/>
      <c r="IM361" s="21"/>
      <c r="IN361" s="21"/>
      <c r="IO361" s="21"/>
      <c r="IP361" s="21"/>
      <c r="IQ361" s="21"/>
      <c r="IR361" s="21"/>
      <c r="IS361" s="21"/>
      <c r="IT361" s="21"/>
    </row>
    <row r="362" spans="1:254" s="2" customFormat="1" ht="24.75" customHeight="1">
      <c r="A362" s="11">
        <v>360</v>
      </c>
      <c r="B362" s="12" t="str">
        <f>"徐日鹏"</f>
        <v>徐日鹏</v>
      </c>
      <c r="C362" s="13" t="s">
        <v>29</v>
      </c>
      <c r="D362" s="13" t="str">
        <f>"230702207117"</f>
        <v>230702207117</v>
      </c>
      <c r="E362" s="18">
        <v>70.015</v>
      </c>
      <c r="F362" s="19" t="s">
        <v>10</v>
      </c>
      <c r="G362" s="19" t="s">
        <v>10</v>
      </c>
      <c r="H362" s="11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  <c r="CO362" s="20"/>
      <c r="CP362" s="20"/>
      <c r="CQ362" s="20"/>
      <c r="CR362" s="20"/>
      <c r="CS362" s="20"/>
      <c r="CT362" s="20"/>
      <c r="CU362" s="20"/>
      <c r="CV362" s="20"/>
      <c r="CW362" s="20"/>
      <c r="CX362" s="20"/>
      <c r="CY362" s="20"/>
      <c r="CZ362" s="20"/>
      <c r="DA362" s="20"/>
      <c r="DB362" s="20"/>
      <c r="DC362" s="20"/>
      <c r="DD362" s="20"/>
      <c r="DE362" s="20"/>
      <c r="DF362" s="20"/>
      <c r="DG362" s="20"/>
      <c r="DH362" s="20"/>
      <c r="DI362" s="20"/>
      <c r="DJ362" s="20"/>
      <c r="DK362" s="20"/>
      <c r="DL362" s="20"/>
      <c r="DM362" s="20"/>
      <c r="DN362" s="20"/>
      <c r="DO362" s="20"/>
      <c r="DP362" s="20"/>
      <c r="DQ362" s="20"/>
      <c r="DR362" s="20"/>
      <c r="DS362" s="20"/>
      <c r="DT362" s="20"/>
      <c r="DU362" s="20"/>
      <c r="DV362" s="20"/>
      <c r="DW362" s="20"/>
      <c r="DX362" s="20"/>
      <c r="DY362" s="20"/>
      <c r="DZ362" s="20"/>
      <c r="EA362" s="20"/>
      <c r="EB362" s="20"/>
      <c r="EC362" s="20"/>
      <c r="ED362" s="20"/>
      <c r="EE362" s="20"/>
      <c r="EF362" s="20"/>
      <c r="EG362" s="20"/>
      <c r="EH362" s="20"/>
      <c r="EI362" s="20"/>
      <c r="EJ362" s="20"/>
      <c r="EK362" s="20"/>
      <c r="EL362" s="20"/>
      <c r="EM362" s="20"/>
      <c r="EN362" s="20"/>
      <c r="EO362" s="20"/>
      <c r="EP362" s="20"/>
      <c r="EQ362" s="20"/>
      <c r="ER362" s="20"/>
      <c r="ES362" s="20"/>
      <c r="ET362" s="20"/>
      <c r="EU362" s="20"/>
      <c r="EV362" s="20"/>
      <c r="EW362" s="20"/>
      <c r="EX362" s="20"/>
      <c r="EY362" s="20"/>
      <c r="EZ362" s="20"/>
      <c r="FA362" s="20"/>
      <c r="FB362" s="20"/>
      <c r="FC362" s="20"/>
      <c r="FD362" s="20"/>
      <c r="FE362" s="20"/>
      <c r="FF362" s="20"/>
      <c r="FG362" s="20"/>
      <c r="FH362" s="20"/>
      <c r="FI362" s="20"/>
      <c r="FJ362" s="20"/>
      <c r="FK362" s="20"/>
      <c r="FL362" s="20"/>
      <c r="FM362" s="20"/>
      <c r="FN362" s="20"/>
      <c r="FO362" s="20"/>
      <c r="FP362" s="20"/>
      <c r="FQ362" s="20"/>
      <c r="FR362" s="20"/>
      <c r="FS362" s="20"/>
      <c r="FT362" s="20"/>
      <c r="FU362" s="20"/>
      <c r="FV362" s="20"/>
      <c r="FW362" s="20"/>
      <c r="FX362" s="20"/>
      <c r="FY362" s="20"/>
      <c r="FZ362" s="20"/>
      <c r="GA362" s="20"/>
      <c r="GB362" s="20"/>
      <c r="GC362" s="20"/>
      <c r="GD362" s="20"/>
      <c r="GE362" s="20"/>
      <c r="GF362" s="20"/>
      <c r="GG362" s="20"/>
      <c r="GH362" s="20"/>
      <c r="GI362" s="20"/>
      <c r="GJ362" s="20"/>
      <c r="GK362" s="20"/>
      <c r="GL362" s="20"/>
      <c r="GM362" s="20"/>
      <c r="GN362" s="20"/>
      <c r="GO362" s="20"/>
      <c r="GP362" s="20"/>
      <c r="GQ362" s="20"/>
      <c r="GR362" s="21"/>
      <c r="GS362" s="21"/>
      <c r="GT362" s="21"/>
      <c r="GU362" s="21"/>
      <c r="GV362" s="21"/>
      <c r="GW362" s="21"/>
      <c r="GX362" s="21"/>
      <c r="GY362" s="21"/>
      <c r="GZ362" s="21"/>
      <c r="HA362" s="21"/>
      <c r="HB362" s="21"/>
      <c r="HC362" s="21"/>
      <c r="HD362" s="21"/>
      <c r="HE362" s="21"/>
      <c r="HF362" s="21"/>
      <c r="HG362" s="21"/>
      <c r="HH362" s="21"/>
      <c r="HI362" s="21"/>
      <c r="HJ362" s="21"/>
      <c r="HK362" s="21"/>
      <c r="HL362" s="21"/>
      <c r="HM362" s="21"/>
      <c r="HN362" s="21"/>
      <c r="HO362" s="21"/>
      <c r="HP362" s="21"/>
      <c r="HQ362" s="21"/>
      <c r="HR362" s="21"/>
      <c r="HS362" s="21"/>
      <c r="HT362" s="21"/>
      <c r="HU362" s="21"/>
      <c r="HV362" s="21"/>
      <c r="HW362" s="21"/>
      <c r="HX362" s="21"/>
      <c r="HY362" s="21"/>
      <c r="HZ362" s="21"/>
      <c r="IA362" s="21"/>
      <c r="IB362" s="21"/>
      <c r="IC362" s="21"/>
      <c r="ID362" s="21"/>
      <c r="IE362" s="21"/>
      <c r="IF362" s="21"/>
      <c r="IG362" s="21"/>
      <c r="IH362" s="21"/>
      <c r="II362" s="21"/>
      <c r="IJ362" s="21"/>
      <c r="IK362" s="21"/>
      <c r="IL362" s="21"/>
      <c r="IM362" s="21"/>
      <c r="IN362" s="21"/>
      <c r="IO362" s="21"/>
      <c r="IP362" s="21"/>
      <c r="IQ362" s="21"/>
      <c r="IR362" s="21"/>
      <c r="IS362" s="21"/>
      <c r="IT362" s="21"/>
    </row>
    <row r="363" spans="1:254" s="2" customFormat="1" ht="24.75" customHeight="1">
      <c r="A363" s="11">
        <v>361</v>
      </c>
      <c r="B363" s="12" t="str">
        <f>"陈益鹏"</f>
        <v>陈益鹏</v>
      </c>
      <c r="C363" s="13" t="s">
        <v>29</v>
      </c>
      <c r="D363" s="13" t="str">
        <f>"230702207522"</f>
        <v>230702207522</v>
      </c>
      <c r="E363" s="18">
        <v>69.9</v>
      </c>
      <c r="F363" s="19" t="s">
        <v>10</v>
      </c>
      <c r="G363" s="19" t="s">
        <v>10</v>
      </c>
      <c r="H363" s="11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0"/>
      <c r="CP363" s="20"/>
      <c r="CQ363" s="20"/>
      <c r="CR363" s="20"/>
      <c r="CS363" s="20"/>
      <c r="CT363" s="20"/>
      <c r="CU363" s="20"/>
      <c r="CV363" s="20"/>
      <c r="CW363" s="20"/>
      <c r="CX363" s="20"/>
      <c r="CY363" s="20"/>
      <c r="CZ363" s="20"/>
      <c r="DA363" s="20"/>
      <c r="DB363" s="20"/>
      <c r="DC363" s="20"/>
      <c r="DD363" s="20"/>
      <c r="DE363" s="20"/>
      <c r="DF363" s="20"/>
      <c r="DG363" s="20"/>
      <c r="DH363" s="20"/>
      <c r="DI363" s="20"/>
      <c r="DJ363" s="20"/>
      <c r="DK363" s="20"/>
      <c r="DL363" s="20"/>
      <c r="DM363" s="20"/>
      <c r="DN363" s="20"/>
      <c r="DO363" s="20"/>
      <c r="DP363" s="20"/>
      <c r="DQ363" s="20"/>
      <c r="DR363" s="20"/>
      <c r="DS363" s="20"/>
      <c r="DT363" s="20"/>
      <c r="DU363" s="20"/>
      <c r="DV363" s="20"/>
      <c r="DW363" s="20"/>
      <c r="DX363" s="20"/>
      <c r="DY363" s="20"/>
      <c r="DZ363" s="20"/>
      <c r="EA363" s="20"/>
      <c r="EB363" s="20"/>
      <c r="EC363" s="20"/>
      <c r="ED363" s="20"/>
      <c r="EE363" s="20"/>
      <c r="EF363" s="20"/>
      <c r="EG363" s="20"/>
      <c r="EH363" s="20"/>
      <c r="EI363" s="20"/>
      <c r="EJ363" s="20"/>
      <c r="EK363" s="20"/>
      <c r="EL363" s="20"/>
      <c r="EM363" s="20"/>
      <c r="EN363" s="20"/>
      <c r="EO363" s="20"/>
      <c r="EP363" s="20"/>
      <c r="EQ363" s="20"/>
      <c r="ER363" s="20"/>
      <c r="ES363" s="20"/>
      <c r="ET363" s="20"/>
      <c r="EU363" s="20"/>
      <c r="EV363" s="20"/>
      <c r="EW363" s="20"/>
      <c r="EX363" s="20"/>
      <c r="EY363" s="20"/>
      <c r="EZ363" s="20"/>
      <c r="FA363" s="20"/>
      <c r="FB363" s="20"/>
      <c r="FC363" s="20"/>
      <c r="FD363" s="20"/>
      <c r="FE363" s="20"/>
      <c r="FF363" s="20"/>
      <c r="FG363" s="20"/>
      <c r="FH363" s="20"/>
      <c r="FI363" s="20"/>
      <c r="FJ363" s="20"/>
      <c r="FK363" s="20"/>
      <c r="FL363" s="20"/>
      <c r="FM363" s="20"/>
      <c r="FN363" s="20"/>
      <c r="FO363" s="20"/>
      <c r="FP363" s="20"/>
      <c r="FQ363" s="20"/>
      <c r="FR363" s="20"/>
      <c r="FS363" s="20"/>
      <c r="FT363" s="20"/>
      <c r="FU363" s="20"/>
      <c r="FV363" s="20"/>
      <c r="FW363" s="20"/>
      <c r="FX363" s="20"/>
      <c r="FY363" s="20"/>
      <c r="FZ363" s="20"/>
      <c r="GA363" s="20"/>
      <c r="GB363" s="20"/>
      <c r="GC363" s="20"/>
      <c r="GD363" s="20"/>
      <c r="GE363" s="20"/>
      <c r="GF363" s="20"/>
      <c r="GG363" s="20"/>
      <c r="GH363" s="20"/>
      <c r="GI363" s="20"/>
      <c r="GJ363" s="20"/>
      <c r="GK363" s="20"/>
      <c r="GL363" s="20"/>
      <c r="GM363" s="20"/>
      <c r="GN363" s="20"/>
      <c r="GO363" s="20"/>
      <c r="GP363" s="20"/>
      <c r="GQ363" s="20"/>
      <c r="GR363" s="21"/>
      <c r="GS363" s="21"/>
      <c r="GT363" s="21"/>
      <c r="GU363" s="21"/>
      <c r="GV363" s="21"/>
      <c r="GW363" s="21"/>
      <c r="GX363" s="21"/>
      <c r="GY363" s="21"/>
      <c r="GZ363" s="21"/>
      <c r="HA363" s="21"/>
      <c r="HB363" s="21"/>
      <c r="HC363" s="21"/>
      <c r="HD363" s="21"/>
      <c r="HE363" s="21"/>
      <c r="HF363" s="21"/>
      <c r="HG363" s="21"/>
      <c r="HH363" s="21"/>
      <c r="HI363" s="21"/>
      <c r="HJ363" s="21"/>
      <c r="HK363" s="21"/>
      <c r="HL363" s="21"/>
      <c r="HM363" s="21"/>
      <c r="HN363" s="21"/>
      <c r="HO363" s="21"/>
      <c r="HP363" s="21"/>
      <c r="HQ363" s="21"/>
      <c r="HR363" s="21"/>
      <c r="HS363" s="21"/>
      <c r="HT363" s="21"/>
      <c r="HU363" s="21"/>
      <c r="HV363" s="21"/>
      <c r="HW363" s="21"/>
      <c r="HX363" s="21"/>
      <c r="HY363" s="21"/>
      <c r="HZ363" s="21"/>
      <c r="IA363" s="21"/>
      <c r="IB363" s="21"/>
      <c r="IC363" s="21"/>
      <c r="ID363" s="21"/>
      <c r="IE363" s="21"/>
      <c r="IF363" s="21"/>
      <c r="IG363" s="21"/>
      <c r="IH363" s="21"/>
      <c r="II363" s="21"/>
      <c r="IJ363" s="21"/>
      <c r="IK363" s="21"/>
      <c r="IL363" s="21"/>
      <c r="IM363" s="21"/>
      <c r="IN363" s="21"/>
      <c r="IO363" s="21"/>
      <c r="IP363" s="21"/>
      <c r="IQ363" s="21"/>
      <c r="IR363" s="21"/>
      <c r="IS363" s="21"/>
      <c r="IT363" s="21"/>
    </row>
    <row r="364" spans="1:254" s="2" customFormat="1" ht="24.75" customHeight="1">
      <c r="A364" s="11">
        <v>362</v>
      </c>
      <c r="B364" s="12" t="str">
        <f>"王智帅"</f>
        <v>王智帅</v>
      </c>
      <c r="C364" s="13" t="s">
        <v>29</v>
      </c>
      <c r="D364" s="13" t="str">
        <f>"230702207207"</f>
        <v>230702207207</v>
      </c>
      <c r="E364" s="18">
        <v>68.66499999999999</v>
      </c>
      <c r="F364" s="19" t="s">
        <v>10</v>
      </c>
      <c r="G364" s="19" t="s">
        <v>10</v>
      </c>
      <c r="H364" s="11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0"/>
      <c r="CO364" s="20"/>
      <c r="CP364" s="20"/>
      <c r="CQ364" s="20"/>
      <c r="CR364" s="20"/>
      <c r="CS364" s="20"/>
      <c r="CT364" s="20"/>
      <c r="CU364" s="20"/>
      <c r="CV364" s="20"/>
      <c r="CW364" s="20"/>
      <c r="CX364" s="20"/>
      <c r="CY364" s="20"/>
      <c r="CZ364" s="20"/>
      <c r="DA364" s="20"/>
      <c r="DB364" s="20"/>
      <c r="DC364" s="20"/>
      <c r="DD364" s="20"/>
      <c r="DE364" s="20"/>
      <c r="DF364" s="20"/>
      <c r="DG364" s="20"/>
      <c r="DH364" s="20"/>
      <c r="DI364" s="20"/>
      <c r="DJ364" s="20"/>
      <c r="DK364" s="20"/>
      <c r="DL364" s="20"/>
      <c r="DM364" s="20"/>
      <c r="DN364" s="20"/>
      <c r="DO364" s="20"/>
      <c r="DP364" s="20"/>
      <c r="DQ364" s="20"/>
      <c r="DR364" s="20"/>
      <c r="DS364" s="20"/>
      <c r="DT364" s="20"/>
      <c r="DU364" s="20"/>
      <c r="DV364" s="20"/>
      <c r="DW364" s="20"/>
      <c r="DX364" s="20"/>
      <c r="DY364" s="20"/>
      <c r="DZ364" s="20"/>
      <c r="EA364" s="20"/>
      <c r="EB364" s="20"/>
      <c r="EC364" s="20"/>
      <c r="ED364" s="20"/>
      <c r="EE364" s="20"/>
      <c r="EF364" s="20"/>
      <c r="EG364" s="20"/>
      <c r="EH364" s="20"/>
      <c r="EI364" s="20"/>
      <c r="EJ364" s="20"/>
      <c r="EK364" s="20"/>
      <c r="EL364" s="20"/>
      <c r="EM364" s="20"/>
      <c r="EN364" s="20"/>
      <c r="EO364" s="20"/>
      <c r="EP364" s="20"/>
      <c r="EQ364" s="20"/>
      <c r="ER364" s="20"/>
      <c r="ES364" s="20"/>
      <c r="ET364" s="20"/>
      <c r="EU364" s="20"/>
      <c r="EV364" s="20"/>
      <c r="EW364" s="20"/>
      <c r="EX364" s="20"/>
      <c r="EY364" s="20"/>
      <c r="EZ364" s="20"/>
      <c r="FA364" s="20"/>
      <c r="FB364" s="20"/>
      <c r="FC364" s="20"/>
      <c r="FD364" s="20"/>
      <c r="FE364" s="20"/>
      <c r="FF364" s="20"/>
      <c r="FG364" s="20"/>
      <c r="FH364" s="20"/>
      <c r="FI364" s="20"/>
      <c r="FJ364" s="20"/>
      <c r="FK364" s="20"/>
      <c r="FL364" s="20"/>
      <c r="FM364" s="20"/>
      <c r="FN364" s="20"/>
      <c r="FO364" s="20"/>
      <c r="FP364" s="20"/>
      <c r="FQ364" s="20"/>
      <c r="FR364" s="20"/>
      <c r="FS364" s="20"/>
      <c r="FT364" s="20"/>
      <c r="FU364" s="20"/>
      <c r="FV364" s="20"/>
      <c r="FW364" s="20"/>
      <c r="FX364" s="20"/>
      <c r="FY364" s="20"/>
      <c r="FZ364" s="20"/>
      <c r="GA364" s="20"/>
      <c r="GB364" s="20"/>
      <c r="GC364" s="20"/>
      <c r="GD364" s="20"/>
      <c r="GE364" s="20"/>
      <c r="GF364" s="20"/>
      <c r="GG364" s="20"/>
      <c r="GH364" s="20"/>
      <c r="GI364" s="20"/>
      <c r="GJ364" s="20"/>
      <c r="GK364" s="20"/>
      <c r="GL364" s="20"/>
      <c r="GM364" s="20"/>
      <c r="GN364" s="20"/>
      <c r="GO364" s="20"/>
      <c r="GP364" s="20"/>
      <c r="GQ364" s="20"/>
      <c r="GR364" s="21"/>
      <c r="GS364" s="21"/>
      <c r="GT364" s="21"/>
      <c r="GU364" s="21"/>
      <c r="GV364" s="21"/>
      <c r="GW364" s="21"/>
      <c r="GX364" s="21"/>
      <c r="GY364" s="21"/>
      <c r="GZ364" s="21"/>
      <c r="HA364" s="21"/>
      <c r="HB364" s="21"/>
      <c r="HC364" s="21"/>
      <c r="HD364" s="21"/>
      <c r="HE364" s="21"/>
      <c r="HF364" s="21"/>
      <c r="HG364" s="21"/>
      <c r="HH364" s="21"/>
      <c r="HI364" s="21"/>
      <c r="HJ364" s="21"/>
      <c r="HK364" s="21"/>
      <c r="HL364" s="21"/>
      <c r="HM364" s="21"/>
      <c r="HN364" s="21"/>
      <c r="HO364" s="21"/>
      <c r="HP364" s="21"/>
      <c r="HQ364" s="21"/>
      <c r="HR364" s="21"/>
      <c r="HS364" s="21"/>
      <c r="HT364" s="21"/>
      <c r="HU364" s="21"/>
      <c r="HV364" s="21"/>
      <c r="HW364" s="21"/>
      <c r="HX364" s="21"/>
      <c r="HY364" s="21"/>
      <c r="HZ364" s="21"/>
      <c r="IA364" s="21"/>
      <c r="IB364" s="21"/>
      <c r="IC364" s="21"/>
      <c r="ID364" s="21"/>
      <c r="IE364" s="21"/>
      <c r="IF364" s="21"/>
      <c r="IG364" s="21"/>
      <c r="IH364" s="21"/>
      <c r="II364" s="21"/>
      <c r="IJ364" s="21"/>
      <c r="IK364" s="21"/>
      <c r="IL364" s="21"/>
      <c r="IM364" s="21"/>
      <c r="IN364" s="21"/>
      <c r="IO364" s="21"/>
      <c r="IP364" s="21"/>
      <c r="IQ364" s="21"/>
      <c r="IR364" s="21"/>
      <c r="IS364" s="21"/>
      <c r="IT364" s="21"/>
    </row>
    <row r="365" spans="1:254" s="2" customFormat="1" ht="24.75" customHeight="1">
      <c r="A365" s="11">
        <v>363</v>
      </c>
      <c r="B365" s="12" t="str">
        <f>"符德君"</f>
        <v>符德君</v>
      </c>
      <c r="C365" s="13" t="s">
        <v>29</v>
      </c>
      <c r="D365" s="13" t="str">
        <f>"230702207018"</f>
        <v>230702207018</v>
      </c>
      <c r="E365" s="18">
        <v>68.6</v>
      </c>
      <c r="F365" s="19" t="s">
        <v>10</v>
      </c>
      <c r="G365" s="19" t="s">
        <v>10</v>
      </c>
      <c r="H365" s="11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0"/>
      <c r="CP365" s="20"/>
      <c r="CQ365" s="20"/>
      <c r="CR365" s="20"/>
      <c r="CS365" s="20"/>
      <c r="CT365" s="20"/>
      <c r="CU365" s="20"/>
      <c r="CV365" s="20"/>
      <c r="CW365" s="20"/>
      <c r="CX365" s="20"/>
      <c r="CY365" s="20"/>
      <c r="CZ365" s="20"/>
      <c r="DA365" s="20"/>
      <c r="DB365" s="20"/>
      <c r="DC365" s="20"/>
      <c r="DD365" s="20"/>
      <c r="DE365" s="20"/>
      <c r="DF365" s="20"/>
      <c r="DG365" s="20"/>
      <c r="DH365" s="20"/>
      <c r="DI365" s="20"/>
      <c r="DJ365" s="20"/>
      <c r="DK365" s="20"/>
      <c r="DL365" s="20"/>
      <c r="DM365" s="20"/>
      <c r="DN365" s="20"/>
      <c r="DO365" s="20"/>
      <c r="DP365" s="20"/>
      <c r="DQ365" s="20"/>
      <c r="DR365" s="20"/>
      <c r="DS365" s="20"/>
      <c r="DT365" s="20"/>
      <c r="DU365" s="20"/>
      <c r="DV365" s="20"/>
      <c r="DW365" s="20"/>
      <c r="DX365" s="20"/>
      <c r="DY365" s="20"/>
      <c r="DZ365" s="20"/>
      <c r="EA365" s="20"/>
      <c r="EB365" s="20"/>
      <c r="EC365" s="20"/>
      <c r="ED365" s="20"/>
      <c r="EE365" s="20"/>
      <c r="EF365" s="20"/>
      <c r="EG365" s="20"/>
      <c r="EH365" s="20"/>
      <c r="EI365" s="20"/>
      <c r="EJ365" s="20"/>
      <c r="EK365" s="20"/>
      <c r="EL365" s="20"/>
      <c r="EM365" s="20"/>
      <c r="EN365" s="20"/>
      <c r="EO365" s="20"/>
      <c r="EP365" s="20"/>
      <c r="EQ365" s="20"/>
      <c r="ER365" s="20"/>
      <c r="ES365" s="20"/>
      <c r="ET365" s="20"/>
      <c r="EU365" s="20"/>
      <c r="EV365" s="20"/>
      <c r="EW365" s="20"/>
      <c r="EX365" s="20"/>
      <c r="EY365" s="20"/>
      <c r="EZ365" s="20"/>
      <c r="FA365" s="20"/>
      <c r="FB365" s="20"/>
      <c r="FC365" s="20"/>
      <c r="FD365" s="20"/>
      <c r="FE365" s="20"/>
      <c r="FF365" s="20"/>
      <c r="FG365" s="20"/>
      <c r="FH365" s="20"/>
      <c r="FI365" s="20"/>
      <c r="FJ365" s="20"/>
      <c r="FK365" s="20"/>
      <c r="FL365" s="20"/>
      <c r="FM365" s="20"/>
      <c r="FN365" s="20"/>
      <c r="FO365" s="20"/>
      <c r="FP365" s="20"/>
      <c r="FQ365" s="20"/>
      <c r="FR365" s="20"/>
      <c r="FS365" s="20"/>
      <c r="FT365" s="20"/>
      <c r="FU365" s="20"/>
      <c r="FV365" s="20"/>
      <c r="FW365" s="20"/>
      <c r="FX365" s="20"/>
      <c r="FY365" s="20"/>
      <c r="FZ365" s="20"/>
      <c r="GA365" s="20"/>
      <c r="GB365" s="20"/>
      <c r="GC365" s="20"/>
      <c r="GD365" s="20"/>
      <c r="GE365" s="20"/>
      <c r="GF365" s="20"/>
      <c r="GG365" s="20"/>
      <c r="GH365" s="20"/>
      <c r="GI365" s="20"/>
      <c r="GJ365" s="20"/>
      <c r="GK365" s="20"/>
      <c r="GL365" s="20"/>
      <c r="GM365" s="20"/>
      <c r="GN365" s="20"/>
      <c r="GO365" s="20"/>
      <c r="GP365" s="20"/>
      <c r="GQ365" s="20"/>
      <c r="GR365" s="21"/>
      <c r="GS365" s="21"/>
      <c r="GT365" s="21"/>
      <c r="GU365" s="21"/>
      <c r="GV365" s="21"/>
      <c r="GW365" s="21"/>
      <c r="GX365" s="21"/>
      <c r="GY365" s="21"/>
      <c r="GZ365" s="21"/>
      <c r="HA365" s="21"/>
      <c r="HB365" s="21"/>
      <c r="HC365" s="21"/>
      <c r="HD365" s="21"/>
      <c r="HE365" s="21"/>
      <c r="HF365" s="21"/>
      <c r="HG365" s="21"/>
      <c r="HH365" s="21"/>
      <c r="HI365" s="21"/>
      <c r="HJ365" s="21"/>
      <c r="HK365" s="21"/>
      <c r="HL365" s="21"/>
      <c r="HM365" s="21"/>
      <c r="HN365" s="21"/>
      <c r="HO365" s="21"/>
      <c r="HP365" s="21"/>
      <c r="HQ365" s="21"/>
      <c r="HR365" s="21"/>
      <c r="HS365" s="21"/>
      <c r="HT365" s="21"/>
      <c r="HU365" s="21"/>
      <c r="HV365" s="21"/>
      <c r="HW365" s="21"/>
      <c r="HX365" s="21"/>
      <c r="HY365" s="21"/>
      <c r="HZ365" s="21"/>
      <c r="IA365" s="21"/>
      <c r="IB365" s="21"/>
      <c r="IC365" s="21"/>
      <c r="ID365" s="21"/>
      <c r="IE365" s="21"/>
      <c r="IF365" s="21"/>
      <c r="IG365" s="21"/>
      <c r="IH365" s="21"/>
      <c r="II365" s="21"/>
      <c r="IJ365" s="21"/>
      <c r="IK365" s="21"/>
      <c r="IL365" s="21"/>
      <c r="IM365" s="21"/>
      <c r="IN365" s="21"/>
      <c r="IO365" s="21"/>
      <c r="IP365" s="21"/>
      <c r="IQ365" s="21"/>
      <c r="IR365" s="21"/>
      <c r="IS365" s="21"/>
      <c r="IT365" s="21"/>
    </row>
    <row r="366" spans="1:254" s="2" customFormat="1" ht="24.75" customHeight="1">
      <c r="A366" s="11">
        <v>364</v>
      </c>
      <c r="B366" s="12" t="str">
        <f>"王康"</f>
        <v>王康</v>
      </c>
      <c r="C366" s="13" t="s">
        <v>29</v>
      </c>
      <c r="D366" s="13" t="str">
        <f>"230702207203"</f>
        <v>230702207203</v>
      </c>
      <c r="E366" s="18">
        <v>68.065</v>
      </c>
      <c r="F366" s="19" t="s">
        <v>10</v>
      </c>
      <c r="G366" s="19" t="s">
        <v>10</v>
      </c>
      <c r="H366" s="11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0"/>
      <c r="CP366" s="20"/>
      <c r="CQ366" s="20"/>
      <c r="CR366" s="20"/>
      <c r="CS366" s="20"/>
      <c r="CT366" s="20"/>
      <c r="CU366" s="20"/>
      <c r="CV366" s="20"/>
      <c r="CW366" s="20"/>
      <c r="CX366" s="20"/>
      <c r="CY366" s="20"/>
      <c r="CZ366" s="20"/>
      <c r="DA366" s="20"/>
      <c r="DB366" s="20"/>
      <c r="DC366" s="20"/>
      <c r="DD366" s="20"/>
      <c r="DE366" s="20"/>
      <c r="DF366" s="20"/>
      <c r="DG366" s="20"/>
      <c r="DH366" s="20"/>
      <c r="DI366" s="20"/>
      <c r="DJ366" s="20"/>
      <c r="DK366" s="20"/>
      <c r="DL366" s="20"/>
      <c r="DM366" s="20"/>
      <c r="DN366" s="20"/>
      <c r="DO366" s="20"/>
      <c r="DP366" s="20"/>
      <c r="DQ366" s="20"/>
      <c r="DR366" s="20"/>
      <c r="DS366" s="20"/>
      <c r="DT366" s="20"/>
      <c r="DU366" s="20"/>
      <c r="DV366" s="20"/>
      <c r="DW366" s="20"/>
      <c r="DX366" s="20"/>
      <c r="DY366" s="20"/>
      <c r="DZ366" s="20"/>
      <c r="EA366" s="20"/>
      <c r="EB366" s="20"/>
      <c r="EC366" s="20"/>
      <c r="ED366" s="20"/>
      <c r="EE366" s="20"/>
      <c r="EF366" s="20"/>
      <c r="EG366" s="20"/>
      <c r="EH366" s="20"/>
      <c r="EI366" s="20"/>
      <c r="EJ366" s="20"/>
      <c r="EK366" s="20"/>
      <c r="EL366" s="20"/>
      <c r="EM366" s="20"/>
      <c r="EN366" s="20"/>
      <c r="EO366" s="20"/>
      <c r="EP366" s="20"/>
      <c r="EQ366" s="20"/>
      <c r="ER366" s="20"/>
      <c r="ES366" s="20"/>
      <c r="ET366" s="20"/>
      <c r="EU366" s="20"/>
      <c r="EV366" s="20"/>
      <c r="EW366" s="20"/>
      <c r="EX366" s="20"/>
      <c r="EY366" s="20"/>
      <c r="EZ366" s="20"/>
      <c r="FA366" s="20"/>
      <c r="FB366" s="20"/>
      <c r="FC366" s="20"/>
      <c r="FD366" s="20"/>
      <c r="FE366" s="20"/>
      <c r="FF366" s="20"/>
      <c r="FG366" s="20"/>
      <c r="FH366" s="20"/>
      <c r="FI366" s="20"/>
      <c r="FJ366" s="20"/>
      <c r="FK366" s="20"/>
      <c r="FL366" s="20"/>
      <c r="FM366" s="20"/>
      <c r="FN366" s="20"/>
      <c r="FO366" s="20"/>
      <c r="FP366" s="20"/>
      <c r="FQ366" s="20"/>
      <c r="FR366" s="20"/>
      <c r="FS366" s="20"/>
      <c r="FT366" s="20"/>
      <c r="FU366" s="20"/>
      <c r="FV366" s="20"/>
      <c r="FW366" s="20"/>
      <c r="FX366" s="20"/>
      <c r="FY366" s="20"/>
      <c r="FZ366" s="20"/>
      <c r="GA366" s="20"/>
      <c r="GB366" s="20"/>
      <c r="GC366" s="20"/>
      <c r="GD366" s="20"/>
      <c r="GE366" s="20"/>
      <c r="GF366" s="20"/>
      <c r="GG366" s="20"/>
      <c r="GH366" s="20"/>
      <c r="GI366" s="20"/>
      <c r="GJ366" s="20"/>
      <c r="GK366" s="20"/>
      <c r="GL366" s="20"/>
      <c r="GM366" s="20"/>
      <c r="GN366" s="20"/>
      <c r="GO366" s="20"/>
      <c r="GP366" s="20"/>
      <c r="GQ366" s="20"/>
      <c r="GR366" s="21"/>
      <c r="GS366" s="21"/>
      <c r="GT366" s="21"/>
      <c r="GU366" s="21"/>
      <c r="GV366" s="21"/>
      <c r="GW366" s="21"/>
      <c r="GX366" s="21"/>
      <c r="GY366" s="21"/>
      <c r="GZ366" s="21"/>
      <c r="HA366" s="21"/>
      <c r="HB366" s="21"/>
      <c r="HC366" s="21"/>
      <c r="HD366" s="21"/>
      <c r="HE366" s="21"/>
      <c r="HF366" s="21"/>
      <c r="HG366" s="21"/>
      <c r="HH366" s="21"/>
      <c r="HI366" s="21"/>
      <c r="HJ366" s="21"/>
      <c r="HK366" s="21"/>
      <c r="HL366" s="21"/>
      <c r="HM366" s="21"/>
      <c r="HN366" s="21"/>
      <c r="HO366" s="21"/>
      <c r="HP366" s="21"/>
      <c r="HQ366" s="21"/>
      <c r="HR366" s="21"/>
      <c r="HS366" s="21"/>
      <c r="HT366" s="21"/>
      <c r="HU366" s="21"/>
      <c r="HV366" s="21"/>
      <c r="HW366" s="21"/>
      <c r="HX366" s="21"/>
      <c r="HY366" s="21"/>
      <c r="HZ366" s="21"/>
      <c r="IA366" s="21"/>
      <c r="IB366" s="21"/>
      <c r="IC366" s="21"/>
      <c r="ID366" s="21"/>
      <c r="IE366" s="21"/>
      <c r="IF366" s="21"/>
      <c r="IG366" s="21"/>
      <c r="IH366" s="21"/>
      <c r="II366" s="21"/>
      <c r="IJ366" s="21"/>
      <c r="IK366" s="21"/>
      <c r="IL366" s="21"/>
      <c r="IM366" s="21"/>
      <c r="IN366" s="21"/>
      <c r="IO366" s="21"/>
      <c r="IP366" s="21"/>
      <c r="IQ366" s="21"/>
      <c r="IR366" s="21"/>
      <c r="IS366" s="21"/>
      <c r="IT366" s="21"/>
    </row>
    <row r="367" spans="1:254" s="2" customFormat="1" ht="24.75" customHeight="1">
      <c r="A367" s="11">
        <v>365</v>
      </c>
      <c r="B367" s="12" t="str">
        <f>"钟垂咏"</f>
        <v>钟垂咏</v>
      </c>
      <c r="C367" s="13" t="s">
        <v>29</v>
      </c>
      <c r="D367" s="13" t="str">
        <f>"230702206824"</f>
        <v>230702206824</v>
      </c>
      <c r="E367" s="18">
        <v>67.91499999999999</v>
      </c>
      <c r="F367" s="19" t="s">
        <v>10</v>
      </c>
      <c r="G367" s="19" t="s">
        <v>10</v>
      </c>
      <c r="H367" s="11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0"/>
      <c r="CP367" s="20"/>
      <c r="CQ367" s="20"/>
      <c r="CR367" s="20"/>
      <c r="CS367" s="20"/>
      <c r="CT367" s="20"/>
      <c r="CU367" s="20"/>
      <c r="CV367" s="20"/>
      <c r="CW367" s="20"/>
      <c r="CX367" s="20"/>
      <c r="CY367" s="20"/>
      <c r="CZ367" s="20"/>
      <c r="DA367" s="20"/>
      <c r="DB367" s="20"/>
      <c r="DC367" s="20"/>
      <c r="DD367" s="20"/>
      <c r="DE367" s="20"/>
      <c r="DF367" s="20"/>
      <c r="DG367" s="20"/>
      <c r="DH367" s="20"/>
      <c r="DI367" s="20"/>
      <c r="DJ367" s="20"/>
      <c r="DK367" s="20"/>
      <c r="DL367" s="20"/>
      <c r="DM367" s="20"/>
      <c r="DN367" s="20"/>
      <c r="DO367" s="20"/>
      <c r="DP367" s="20"/>
      <c r="DQ367" s="20"/>
      <c r="DR367" s="20"/>
      <c r="DS367" s="20"/>
      <c r="DT367" s="20"/>
      <c r="DU367" s="20"/>
      <c r="DV367" s="20"/>
      <c r="DW367" s="20"/>
      <c r="DX367" s="20"/>
      <c r="DY367" s="20"/>
      <c r="DZ367" s="20"/>
      <c r="EA367" s="20"/>
      <c r="EB367" s="20"/>
      <c r="EC367" s="20"/>
      <c r="ED367" s="20"/>
      <c r="EE367" s="20"/>
      <c r="EF367" s="20"/>
      <c r="EG367" s="20"/>
      <c r="EH367" s="20"/>
      <c r="EI367" s="20"/>
      <c r="EJ367" s="20"/>
      <c r="EK367" s="20"/>
      <c r="EL367" s="20"/>
      <c r="EM367" s="20"/>
      <c r="EN367" s="20"/>
      <c r="EO367" s="20"/>
      <c r="EP367" s="20"/>
      <c r="EQ367" s="20"/>
      <c r="ER367" s="20"/>
      <c r="ES367" s="20"/>
      <c r="ET367" s="20"/>
      <c r="EU367" s="20"/>
      <c r="EV367" s="20"/>
      <c r="EW367" s="20"/>
      <c r="EX367" s="20"/>
      <c r="EY367" s="20"/>
      <c r="EZ367" s="20"/>
      <c r="FA367" s="20"/>
      <c r="FB367" s="20"/>
      <c r="FC367" s="20"/>
      <c r="FD367" s="20"/>
      <c r="FE367" s="20"/>
      <c r="FF367" s="20"/>
      <c r="FG367" s="20"/>
      <c r="FH367" s="20"/>
      <c r="FI367" s="20"/>
      <c r="FJ367" s="20"/>
      <c r="FK367" s="20"/>
      <c r="FL367" s="20"/>
      <c r="FM367" s="20"/>
      <c r="FN367" s="20"/>
      <c r="FO367" s="20"/>
      <c r="FP367" s="20"/>
      <c r="FQ367" s="20"/>
      <c r="FR367" s="20"/>
      <c r="FS367" s="20"/>
      <c r="FT367" s="20"/>
      <c r="FU367" s="20"/>
      <c r="FV367" s="20"/>
      <c r="FW367" s="20"/>
      <c r="FX367" s="20"/>
      <c r="FY367" s="20"/>
      <c r="FZ367" s="20"/>
      <c r="GA367" s="20"/>
      <c r="GB367" s="20"/>
      <c r="GC367" s="20"/>
      <c r="GD367" s="20"/>
      <c r="GE367" s="20"/>
      <c r="GF367" s="20"/>
      <c r="GG367" s="20"/>
      <c r="GH367" s="20"/>
      <c r="GI367" s="20"/>
      <c r="GJ367" s="20"/>
      <c r="GK367" s="20"/>
      <c r="GL367" s="20"/>
      <c r="GM367" s="20"/>
      <c r="GN367" s="20"/>
      <c r="GO367" s="20"/>
      <c r="GP367" s="20"/>
      <c r="GQ367" s="20"/>
      <c r="GR367" s="21"/>
      <c r="GS367" s="21"/>
      <c r="GT367" s="21"/>
      <c r="GU367" s="21"/>
      <c r="GV367" s="21"/>
      <c r="GW367" s="21"/>
      <c r="GX367" s="21"/>
      <c r="GY367" s="21"/>
      <c r="GZ367" s="21"/>
      <c r="HA367" s="21"/>
      <c r="HB367" s="21"/>
      <c r="HC367" s="21"/>
      <c r="HD367" s="21"/>
      <c r="HE367" s="21"/>
      <c r="HF367" s="21"/>
      <c r="HG367" s="21"/>
      <c r="HH367" s="21"/>
      <c r="HI367" s="21"/>
      <c r="HJ367" s="21"/>
      <c r="HK367" s="21"/>
      <c r="HL367" s="21"/>
      <c r="HM367" s="21"/>
      <c r="HN367" s="21"/>
      <c r="HO367" s="21"/>
      <c r="HP367" s="21"/>
      <c r="HQ367" s="21"/>
      <c r="HR367" s="21"/>
      <c r="HS367" s="21"/>
      <c r="HT367" s="21"/>
      <c r="HU367" s="21"/>
      <c r="HV367" s="21"/>
      <c r="HW367" s="21"/>
      <c r="HX367" s="21"/>
      <c r="HY367" s="21"/>
      <c r="HZ367" s="21"/>
      <c r="IA367" s="21"/>
      <c r="IB367" s="21"/>
      <c r="IC367" s="21"/>
      <c r="ID367" s="21"/>
      <c r="IE367" s="21"/>
      <c r="IF367" s="21"/>
      <c r="IG367" s="21"/>
      <c r="IH367" s="21"/>
      <c r="II367" s="21"/>
      <c r="IJ367" s="21"/>
      <c r="IK367" s="21"/>
      <c r="IL367" s="21"/>
      <c r="IM367" s="21"/>
      <c r="IN367" s="21"/>
      <c r="IO367" s="21"/>
      <c r="IP367" s="21"/>
      <c r="IQ367" s="21"/>
      <c r="IR367" s="21"/>
      <c r="IS367" s="21"/>
      <c r="IT367" s="21"/>
    </row>
    <row r="368" spans="1:254" s="2" customFormat="1" ht="24.75" customHeight="1">
      <c r="A368" s="11">
        <v>366</v>
      </c>
      <c r="B368" s="12" t="str">
        <f>"卓怀东"</f>
        <v>卓怀东</v>
      </c>
      <c r="C368" s="13" t="s">
        <v>29</v>
      </c>
      <c r="D368" s="13" t="str">
        <f>"230702206523"</f>
        <v>230702206523</v>
      </c>
      <c r="E368" s="18">
        <v>67.85</v>
      </c>
      <c r="F368" s="19" t="s">
        <v>10</v>
      </c>
      <c r="G368" s="19" t="s">
        <v>10</v>
      </c>
      <c r="H368" s="11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0"/>
      <c r="CO368" s="20"/>
      <c r="CP368" s="20"/>
      <c r="CQ368" s="20"/>
      <c r="CR368" s="20"/>
      <c r="CS368" s="20"/>
      <c r="CT368" s="20"/>
      <c r="CU368" s="20"/>
      <c r="CV368" s="20"/>
      <c r="CW368" s="20"/>
      <c r="CX368" s="20"/>
      <c r="CY368" s="20"/>
      <c r="CZ368" s="20"/>
      <c r="DA368" s="20"/>
      <c r="DB368" s="20"/>
      <c r="DC368" s="20"/>
      <c r="DD368" s="20"/>
      <c r="DE368" s="20"/>
      <c r="DF368" s="20"/>
      <c r="DG368" s="20"/>
      <c r="DH368" s="20"/>
      <c r="DI368" s="20"/>
      <c r="DJ368" s="20"/>
      <c r="DK368" s="20"/>
      <c r="DL368" s="20"/>
      <c r="DM368" s="20"/>
      <c r="DN368" s="20"/>
      <c r="DO368" s="20"/>
      <c r="DP368" s="20"/>
      <c r="DQ368" s="20"/>
      <c r="DR368" s="20"/>
      <c r="DS368" s="20"/>
      <c r="DT368" s="20"/>
      <c r="DU368" s="20"/>
      <c r="DV368" s="20"/>
      <c r="DW368" s="20"/>
      <c r="DX368" s="20"/>
      <c r="DY368" s="20"/>
      <c r="DZ368" s="20"/>
      <c r="EA368" s="20"/>
      <c r="EB368" s="20"/>
      <c r="EC368" s="20"/>
      <c r="ED368" s="20"/>
      <c r="EE368" s="20"/>
      <c r="EF368" s="20"/>
      <c r="EG368" s="20"/>
      <c r="EH368" s="20"/>
      <c r="EI368" s="20"/>
      <c r="EJ368" s="20"/>
      <c r="EK368" s="20"/>
      <c r="EL368" s="20"/>
      <c r="EM368" s="20"/>
      <c r="EN368" s="20"/>
      <c r="EO368" s="20"/>
      <c r="EP368" s="20"/>
      <c r="EQ368" s="20"/>
      <c r="ER368" s="20"/>
      <c r="ES368" s="20"/>
      <c r="ET368" s="20"/>
      <c r="EU368" s="20"/>
      <c r="EV368" s="20"/>
      <c r="EW368" s="20"/>
      <c r="EX368" s="20"/>
      <c r="EY368" s="20"/>
      <c r="EZ368" s="20"/>
      <c r="FA368" s="20"/>
      <c r="FB368" s="20"/>
      <c r="FC368" s="20"/>
      <c r="FD368" s="20"/>
      <c r="FE368" s="20"/>
      <c r="FF368" s="20"/>
      <c r="FG368" s="20"/>
      <c r="FH368" s="20"/>
      <c r="FI368" s="20"/>
      <c r="FJ368" s="20"/>
      <c r="FK368" s="20"/>
      <c r="FL368" s="20"/>
      <c r="FM368" s="20"/>
      <c r="FN368" s="20"/>
      <c r="FO368" s="20"/>
      <c r="FP368" s="20"/>
      <c r="FQ368" s="20"/>
      <c r="FR368" s="20"/>
      <c r="FS368" s="20"/>
      <c r="FT368" s="20"/>
      <c r="FU368" s="20"/>
      <c r="FV368" s="20"/>
      <c r="FW368" s="20"/>
      <c r="FX368" s="20"/>
      <c r="FY368" s="20"/>
      <c r="FZ368" s="20"/>
      <c r="GA368" s="20"/>
      <c r="GB368" s="20"/>
      <c r="GC368" s="20"/>
      <c r="GD368" s="20"/>
      <c r="GE368" s="20"/>
      <c r="GF368" s="20"/>
      <c r="GG368" s="20"/>
      <c r="GH368" s="20"/>
      <c r="GI368" s="20"/>
      <c r="GJ368" s="20"/>
      <c r="GK368" s="20"/>
      <c r="GL368" s="20"/>
      <c r="GM368" s="20"/>
      <c r="GN368" s="20"/>
      <c r="GO368" s="20"/>
      <c r="GP368" s="20"/>
      <c r="GQ368" s="20"/>
      <c r="GR368" s="21"/>
      <c r="GS368" s="21"/>
      <c r="GT368" s="21"/>
      <c r="GU368" s="21"/>
      <c r="GV368" s="21"/>
      <c r="GW368" s="21"/>
      <c r="GX368" s="21"/>
      <c r="GY368" s="21"/>
      <c r="GZ368" s="21"/>
      <c r="HA368" s="21"/>
      <c r="HB368" s="21"/>
      <c r="HC368" s="21"/>
      <c r="HD368" s="21"/>
      <c r="HE368" s="21"/>
      <c r="HF368" s="21"/>
      <c r="HG368" s="21"/>
      <c r="HH368" s="21"/>
      <c r="HI368" s="21"/>
      <c r="HJ368" s="21"/>
      <c r="HK368" s="21"/>
      <c r="HL368" s="21"/>
      <c r="HM368" s="21"/>
      <c r="HN368" s="21"/>
      <c r="HO368" s="21"/>
      <c r="HP368" s="21"/>
      <c r="HQ368" s="21"/>
      <c r="HR368" s="21"/>
      <c r="HS368" s="21"/>
      <c r="HT368" s="21"/>
      <c r="HU368" s="21"/>
      <c r="HV368" s="21"/>
      <c r="HW368" s="21"/>
      <c r="HX368" s="21"/>
      <c r="HY368" s="21"/>
      <c r="HZ368" s="21"/>
      <c r="IA368" s="21"/>
      <c r="IB368" s="21"/>
      <c r="IC368" s="21"/>
      <c r="ID368" s="21"/>
      <c r="IE368" s="21"/>
      <c r="IF368" s="21"/>
      <c r="IG368" s="21"/>
      <c r="IH368" s="21"/>
      <c r="II368" s="21"/>
      <c r="IJ368" s="21"/>
      <c r="IK368" s="21"/>
      <c r="IL368" s="21"/>
      <c r="IM368" s="21"/>
      <c r="IN368" s="21"/>
      <c r="IO368" s="21"/>
      <c r="IP368" s="21"/>
      <c r="IQ368" s="21"/>
      <c r="IR368" s="21"/>
      <c r="IS368" s="21"/>
      <c r="IT368" s="21"/>
    </row>
    <row r="369" spans="1:254" s="2" customFormat="1" ht="24.75" customHeight="1">
      <c r="A369" s="11">
        <v>367</v>
      </c>
      <c r="B369" s="12" t="str">
        <f>"麦赋隆"</f>
        <v>麦赋隆</v>
      </c>
      <c r="C369" s="13" t="s">
        <v>29</v>
      </c>
      <c r="D369" s="13" t="str">
        <f>"230702207210"</f>
        <v>230702207210</v>
      </c>
      <c r="E369" s="18">
        <v>67.83500000000001</v>
      </c>
      <c r="F369" s="19" t="s">
        <v>10</v>
      </c>
      <c r="G369" s="19" t="s">
        <v>10</v>
      </c>
      <c r="H369" s="11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0"/>
      <c r="CP369" s="20"/>
      <c r="CQ369" s="20"/>
      <c r="CR369" s="20"/>
      <c r="CS369" s="20"/>
      <c r="CT369" s="20"/>
      <c r="CU369" s="20"/>
      <c r="CV369" s="20"/>
      <c r="CW369" s="20"/>
      <c r="CX369" s="20"/>
      <c r="CY369" s="20"/>
      <c r="CZ369" s="20"/>
      <c r="DA369" s="20"/>
      <c r="DB369" s="20"/>
      <c r="DC369" s="20"/>
      <c r="DD369" s="20"/>
      <c r="DE369" s="20"/>
      <c r="DF369" s="20"/>
      <c r="DG369" s="20"/>
      <c r="DH369" s="20"/>
      <c r="DI369" s="20"/>
      <c r="DJ369" s="20"/>
      <c r="DK369" s="20"/>
      <c r="DL369" s="20"/>
      <c r="DM369" s="20"/>
      <c r="DN369" s="20"/>
      <c r="DO369" s="20"/>
      <c r="DP369" s="20"/>
      <c r="DQ369" s="20"/>
      <c r="DR369" s="20"/>
      <c r="DS369" s="20"/>
      <c r="DT369" s="20"/>
      <c r="DU369" s="20"/>
      <c r="DV369" s="20"/>
      <c r="DW369" s="20"/>
      <c r="DX369" s="20"/>
      <c r="DY369" s="20"/>
      <c r="DZ369" s="20"/>
      <c r="EA369" s="20"/>
      <c r="EB369" s="20"/>
      <c r="EC369" s="20"/>
      <c r="ED369" s="20"/>
      <c r="EE369" s="20"/>
      <c r="EF369" s="20"/>
      <c r="EG369" s="20"/>
      <c r="EH369" s="20"/>
      <c r="EI369" s="20"/>
      <c r="EJ369" s="20"/>
      <c r="EK369" s="20"/>
      <c r="EL369" s="20"/>
      <c r="EM369" s="20"/>
      <c r="EN369" s="20"/>
      <c r="EO369" s="20"/>
      <c r="EP369" s="20"/>
      <c r="EQ369" s="20"/>
      <c r="ER369" s="20"/>
      <c r="ES369" s="20"/>
      <c r="ET369" s="20"/>
      <c r="EU369" s="20"/>
      <c r="EV369" s="20"/>
      <c r="EW369" s="20"/>
      <c r="EX369" s="20"/>
      <c r="EY369" s="20"/>
      <c r="EZ369" s="20"/>
      <c r="FA369" s="20"/>
      <c r="FB369" s="20"/>
      <c r="FC369" s="20"/>
      <c r="FD369" s="20"/>
      <c r="FE369" s="20"/>
      <c r="FF369" s="20"/>
      <c r="FG369" s="20"/>
      <c r="FH369" s="20"/>
      <c r="FI369" s="20"/>
      <c r="FJ369" s="20"/>
      <c r="FK369" s="20"/>
      <c r="FL369" s="20"/>
      <c r="FM369" s="20"/>
      <c r="FN369" s="20"/>
      <c r="FO369" s="20"/>
      <c r="FP369" s="20"/>
      <c r="FQ369" s="20"/>
      <c r="FR369" s="20"/>
      <c r="FS369" s="20"/>
      <c r="FT369" s="20"/>
      <c r="FU369" s="20"/>
      <c r="FV369" s="20"/>
      <c r="FW369" s="20"/>
      <c r="FX369" s="20"/>
      <c r="FY369" s="20"/>
      <c r="FZ369" s="20"/>
      <c r="GA369" s="20"/>
      <c r="GB369" s="20"/>
      <c r="GC369" s="20"/>
      <c r="GD369" s="20"/>
      <c r="GE369" s="20"/>
      <c r="GF369" s="20"/>
      <c r="GG369" s="20"/>
      <c r="GH369" s="20"/>
      <c r="GI369" s="20"/>
      <c r="GJ369" s="20"/>
      <c r="GK369" s="20"/>
      <c r="GL369" s="20"/>
      <c r="GM369" s="20"/>
      <c r="GN369" s="20"/>
      <c r="GO369" s="20"/>
      <c r="GP369" s="20"/>
      <c r="GQ369" s="20"/>
      <c r="GR369" s="21"/>
      <c r="GS369" s="21"/>
      <c r="GT369" s="21"/>
      <c r="GU369" s="21"/>
      <c r="GV369" s="21"/>
      <c r="GW369" s="21"/>
      <c r="GX369" s="21"/>
      <c r="GY369" s="21"/>
      <c r="GZ369" s="21"/>
      <c r="HA369" s="21"/>
      <c r="HB369" s="21"/>
      <c r="HC369" s="21"/>
      <c r="HD369" s="21"/>
      <c r="HE369" s="21"/>
      <c r="HF369" s="21"/>
      <c r="HG369" s="21"/>
      <c r="HH369" s="21"/>
      <c r="HI369" s="21"/>
      <c r="HJ369" s="21"/>
      <c r="HK369" s="21"/>
      <c r="HL369" s="21"/>
      <c r="HM369" s="21"/>
      <c r="HN369" s="21"/>
      <c r="HO369" s="21"/>
      <c r="HP369" s="21"/>
      <c r="HQ369" s="21"/>
      <c r="HR369" s="21"/>
      <c r="HS369" s="21"/>
      <c r="HT369" s="21"/>
      <c r="HU369" s="21"/>
      <c r="HV369" s="21"/>
      <c r="HW369" s="21"/>
      <c r="HX369" s="21"/>
      <c r="HY369" s="21"/>
      <c r="HZ369" s="21"/>
      <c r="IA369" s="21"/>
      <c r="IB369" s="21"/>
      <c r="IC369" s="21"/>
      <c r="ID369" s="21"/>
      <c r="IE369" s="21"/>
      <c r="IF369" s="21"/>
      <c r="IG369" s="21"/>
      <c r="IH369" s="21"/>
      <c r="II369" s="21"/>
      <c r="IJ369" s="21"/>
      <c r="IK369" s="21"/>
      <c r="IL369" s="21"/>
      <c r="IM369" s="21"/>
      <c r="IN369" s="21"/>
      <c r="IO369" s="21"/>
      <c r="IP369" s="21"/>
      <c r="IQ369" s="21"/>
      <c r="IR369" s="21"/>
      <c r="IS369" s="21"/>
      <c r="IT369" s="21"/>
    </row>
    <row r="370" spans="1:254" s="2" customFormat="1" ht="24.75" customHeight="1">
      <c r="A370" s="11">
        <v>368</v>
      </c>
      <c r="B370" s="12" t="str">
        <f>"何杨"</f>
        <v>何杨</v>
      </c>
      <c r="C370" s="13" t="s">
        <v>29</v>
      </c>
      <c r="D370" s="13" t="str">
        <f>"230702207703"</f>
        <v>230702207703</v>
      </c>
      <c r="E370" s="18">
        <v>67.785</v>
      </c>
      <c r="F370" s="19" t="s">
        <v>10</v>
      </c>
      <c r="G370" s="19" t="s">
        <v>10</v>
      </c>
      <c r="H370" s="11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0"/>
      <c r="CO370" s="20"/>
      <c r="CP370" s="20"/>
      <c r="CQ370" s="20"/>
      <c r="CR370" s="20"/>
      <c r="CS370" s="20"/>
      <c r="CT370" s="20"/>
      <c r="CU370" s="20"/>
      <c r="CV370" s="20"/>
      <c r="CW370" s="20"/>
      <c r="CX370" s="20"/>
      <c r="CY370" s="20"/>
      <c r="CZ370" s="20"/>
      <c r="DA370" s="20"/>
      <c r="DB370" s="20"/>
      <c r="DC370" s="20"/>
      <c r="DD370" s="20"/>
      <c r="DE370" s="20"/>
      <c r="DF370" s="20"/>
      <c r="DG370" s="20"/>
      <c r="DH370" s="20"/>
      <c r="DI370" s="20"/>
      <c r="DJ370" s="20"/>
      <c r="DK370" s="20"/>
      <c r="DL370" s="20"/>
      <c r="DM370" s="20"/>
      <c r="DN370" s="20"/>
      <c r="DO370" s="20"/>
      <c r="DP370" s="20"/>
      <c r="DQ370" s="20"/>
      <c r="DR370" s="20"/>
      <c r="DS370" s="20"/>
      <c r="DT370" s="20"/>
      <c r="DU370" s="20"/>
      <c r="DV370" s="20"/>
      <c r="DW370" s="20"/>
      <c r="DX370" s="20"/>
      <c r="DY370" s="20"/>
      <c r="DZ370" s="20"/>
      <c r="EA370" s="20"/>
      <c r="EB370" s="20"/>
      <c r="EC370" s="20"/>
      <c r="ED370" s="20"/>
      <c r="EE370" s="20"/>
      <c r="EF370" s="20"/>
      <c r="EG370" s="20"/>
      <c r="EH370" s="20"/>
      <c r="EI370" s="20"/>
      <c r="EJ370" s="20"/>
      <c r="EK370" s="20"/>
      <c r="EL370" s="20"/>
      <c r="EM370" s="20"/>
      <c r="EN370" s="20"/>
      <c r="EO370" s="20"/>
      <c r="EP370" s="20"/>
      <c r="EQ370" s="20"/>
      <c r="ER370" s="20"/>
      <c r="ES370" s="20"/>
      <c r="ET370" s="20"/>
      <c r="EU370" s="20"/>
      <c r="EV370" s="20"/>
      <c r="EW370" s="20"/>
      <c r="EX370" s="20"/>
      <c r="EY370" s="20"/>
      <c r="EZ370" s="20"/>
      <c r="FA370" s="20"/>
      <c r="FB370" s="20"/>
      <c r="FC370" s="20"/>
      <c r="FD370" s="20"/>
      <c r="FE370" s="20"/>
      <c r="FF370" s="20"/>
      <c r="FG370" s="20"/>
      <c r="FH370" s="20"/>
      <c r="FI370" s="20"/>
      <c r="FJ370" s="20"/>
      <c r="FK370" s="20"/>
      <c r="FL370" s="20"/>
      <c r="FM370" s="20"/>
      <c r="FN370" s="20"/>
      <c r="FO370" s="20"/>
      <c r="FP370" s="20"/>
      <c r="FQ370" s="20"/>
      <c r="FR370" s="20"/>
      <c r="FS370" s="20"/>
      <c r="FT370" s="20"/>
      <c r="FU370" s="20"/>
      <c r="FV370" s="20"/>
      <c r="FW370" s="20"/>
      <c r="FX370" s="20"/>
      <c r="FY370" s="20"/>
      <c r="FZ370" s="20"/>
      <c r="GA370" s="20"/>
      <c r="GB370" s="20"/>
      <c r="GC370" s="20"/>
      <c r="GD370" s="20"/>
      <c r="GE370" s="20"/>
      <c r="GF370" s="20"/>
      <c r="GG370" s="20"/>
      <c r="GH370" s="20"/>
      <c r="GI370" s="20"/>
      <c r="GJ370" s="20"/>
      <c r="GK370" s="20"/>
      <c r="GL370" s="20"/>
      <c r="GM370" s="20"/>
      <c r="GN370" s="20"/>
      <c r="GO370" s="20"/>
      <c r="GP370" s="20"/>
      <c r="GQ370" s="20"/>
      <c r="GR370" s="21"/>
      <c r="GS370" s="21"/>
      <c r="GT370" s="21"/>
      <c r="GU370" s="21"/>
      <c r="GV370" s="21"/>
      <c r="GW370" s="21"/>
      <c r="GX370" s="21"/>
      <c r="GY370" s="21"/>
      <c r="GZ370" s="21"/>
      <c r="HA370" s="21"/>
      <c r="HB370" s="21"/>
      <c r="HC370" s="21"/>
      <c r="HD370" s="21"/>
      <c r="HE370" s="21"/>
      <c r="HF370" s="21"/>
      <c r="HG370" s="21"/>
      <c r="HH370" s="21"/>
      <c r="HI370" s="21"/>
      <c r="HJ370" s="21"/>
      <c r="HK370" s="21"/>
      <c r="HL370" s="21"/>
      <c r="HM370" s="21"/>
      <c r="HN370" s="21"/>
      <c r="HO370" s="21"/>
      <c r="HP370" s="21"/>
      <c r="HQ370" s="21"/>
      <c r="HR370" s="21"/>
      <c r="HS370" s="21"/>
      <c r="HT370" s="21"/>
      <c r="HU370" s="21"/>
      <c r="HV370" s="21"/>
      <c r="HW370" s="21"/>
      <c r="HX370" s="21"/>
      <c r="HY370" s="21"/>
      <c r="HZ370" s="21"/>
      <c r="IA370" s="21"/>
      <c r="IB370" s="21"/>
      <c r="IC370" s="21"/>
      <c r="ID370" s="21"/>
      <c r="IE370" s="21"/>
      <c r="IF370" s="21"/>
      <c r="IG370" s="21"/>
      <c r="IH370" s="21"/>
      <c r="II370" s="21"/>
      <c r="IJ370" s="21"/>
      <c r="IK370" s="21"/>
      <c r="IL370" s="21"/>
      <c r="IM370" s="21"/>
      <c r="IN370" s="21"/>
      <c r="IO370" s="21"/>
      <c r="IP370" s="21"/>
      <c r="IQ370" s="21"/>
      <c r="IR370" s="21"/>
      <c r="IS370" s="21"/>
      <c r="IT370" s="21"/>
    </row>
    <row r="371" spans="1:254" s="2" customFormat="1" ht="24.75" customHeight="1">
      <c r="A371" s="11">
        <v>369</v>
      </c>
      <c r="B371" s="12" t="str">
        <f>"王裕达"</f>
        <v>王裕达</v>
      </c>
      <c r="C371" s="13" t="s">
        <v>29</v>
      </c>
      <c r="D371" s="13" t="str">
        <f>"230702207102"</f>
        <v>230702207102</v>
      </c>
      <c r="E371" s="18">
        <v>67.65</v>
      </c>
      <c r="F371" s="19" t="s">
        <v>10</v>
      </c>
      <c r="G371" s="19" t="s">
        <v>10</v>
      </c>
      <c r="H371" s="11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0"/>
      <c r="CP371" s="20"/>
      <c r="CQ371" s="20"/>
      <c r="CR371" s="20"/>
      <c r="CS371" s="20"/>
      <c r="CT371" s="20"/>
      <c r="CU371" s="20"/>
      <c r="CV371" s="20"/>
      <c r="CW371" s="20"/>
      <c r="CX371" s="20"/>
      <c r="CY371" s="20"/>
      <c r="CZ371" s="20"/>
      <c r="DA371" s="20"/>
      <c r="DB371" s="20"/>
      <c r="DC371" s="20"/>
      <c r="DD371" s="20"/>
      <c r="DE371" s="20"/>
      <c r="DF371" s="20"/>
      <c r="DG371" s="20"/>
      <c r="DH371" s="20"/>
      <c r="DI371" s="20"/>
      <c r="DJ371" s="20"/>
      <c r="DK371" s="20"/>
      <c r="DL371" s="20"/>
      <c r="DM371" s="20"/>
      <c r="DN371" s="20"/>
      <c r="DO371" s="20"/>
      <c r="DP371" s="20"/>
      <c r="DQ371" s="20"/>
      <c r="DR371" s="20"/>
      <c r="DS371" s="20"/>
      <c r="DT371" s="20"/>
      <c r="DU371" s="20"/>
      <c r="DV371" s="20"/>
      <c r="DW371" s="20"/>
      <c r="DX371" s="20"/>
      <c r="DY371" s="20"/>
      <c r="DZ371" s="20"/>
      <c r="EA371" s="20"/>
      <c r="EB371" s="20"/>
      <c r="EC371" s="20"/>
      <c r="ED371" s="20"/>
      <c r="EE371" s="20"/>
      <c r="EF371" s="20"/>
      <c r="EG371" s="20"/>
      <c r="EH371" s="20"/>
      <c r="EI371" s="20"/>
      <c r="EJ371" s="20"/>
      <c r="EK371" s="20"/>
      <c r="EL371" s="20"/>
      <c r="EM371" s="20"/>
      <c r="EN371" s="20"/>
      <c r="EO371" s="20"/>
      <c r="EP371" s="20"/>
      <c r="EQ371" s="20"/>
      <c r="ER371" s="20"/>
      <c r="ES371" s="20"/>
      <c r="ET371" s="20"/>
      <c r="EU371" s="20"/>
      <c r="EV371" s="20"/>
      <c r="EW371" s="20"/>
      <c r="EX371" s="20"/>
      <c r="EY371" s="20"/>
      <c r="EZ371" s="20"/>
      <c r="FA371" s="20"/>
      <c r="FB371" s="20"/>
      <c r="FC371" s="20"/>
      <c r="FD371" s="20"/>
      <c r="FE371" s="20"/>
      <c r="FF371" s="20"/>
      <c r="FG371" s="20"/>
      <c r="FH371" s="20"/>
      <c r="FI371" s="20"/>
      <c r="FJ371" s="20"/>
      <c r="FK371" s="20"/>
      <c r="FL371" s="20"/>
      <c r="FM371" s="20"/>
      <c r="FN371" s="20"/>
      <c r="FO371" s="20"/>
      <c r="FP371" s="20"/>
      <c r="FQ371" s="20"/>
      <c r="FR371" s="20"/>
      <c r="FS371" s="20"/>
      <c r="FT371" s="20"/>
      <c r="FU371" s="20"/>
      <c r="FV371" s="20"/>
      <c r="FW371" s="20"/>
      <c r="FX371" s="20"/>
      <c r="FY371" s="20"/>
      <c r="FZ371" s="20"/>
      <c r="GA371" s="20"/>
      <c r="GB371" s="20"/>
      <c r="GC371" s="20"/>
      <c r="GD371" s="20"/>
      <c r="GE371" s="20"/>
      <c r="GF371" s="20"/>
      <c r="GG371" s="20"/>
      <c r="GH371" s="20"/>
      <c r="GI371" s="20"/>
      <c r="GJ371" s="20"/>
      <c r="GK371" s="20"/>
      <c r="GL371" s="20"/>
      <c r="GM371" s="20"/>
      <c r="GN371" s="20"/>
      <c r="GO371" s="20"/>
      <c r="GP371" s="20"/>
      <c r="GQ371" s="20"/>
      <c r="GR371" s="21"/>
      <c r="GS371" s="21"/>
      <c r="GT371" s="21"/>
      <c r="GU371" s="21"/>
      <c r="GV371" s="21"/>
      <c r="GW371" s="21"/>
      <c r="GX371" s="21"/>
      <c r="GY371" s="21"/>
      <c r="GZ371" s="21"/>
      <c r="HA371" s="21"/>
      <c r="HB371" s="21"/>
      <c r="HC371" s="21"/>
      <c r="HD371" s="21"/>
      <c r="HE371" s="21"/>
      <c r="HF371" s="21"/>
      <c r="HG371" s="21"/>
      <c r="HH371" s="21"/>
      <c r="HI371" s="21"/>
      <c r="HJ371" s="21"/>
      <c r="HK371" s="21"/>
      <c r="HL371" s="21"/>
      <c r="HM371" s="21"/>
      <c r="HN371" s="21"/>
      <c r="HO371" s="21"/>
      <c r="HP371" s="21"/>
      <c r="HQ371" s="21"/>
      <c r="HR371" s="21"/>
      <c r="HS371" s="21"/>
      <c r="HT371" s="21"/>
      <c r="HU371" s="21"/>
      <c r="HV371" s="21"/>
      <c r="HW371" s="21"/>
      <c r="HX371" s="21"/>
      <c r="HY371" s="21"/>
      <c r="HZ371" s="21"/>
      <c r="IA371" s="21"/>
      <c r="IB371" s="21"/>
      <c r="IC371" s="21"/>
      <c r="ID371" s="21"/>
      <c r="IE371" s="21"/>
      <c r="IF371" s="21"/>
      <c r="IG371" s="21"/>
      <c r="IH371" s="21"/>
      <c r="II371" s="21"/>
      <c r="IJ371" s="21"/>
      <c r="IK371" s="21"/>
      <c r="IL371" s="21"/>
      <c r="IM371" s="21"/>
      <c r="IN371" s="21"/>
      <c r="IO371" s="21"/>
      <c r="IP371" s="21"/>
      <c r="IQ371" s="21"/>
      <c r="IR371" s="21"/>
      <c r="IS371" s="21"/>
      <c r="IT371" s="21"/>
    </row>
    <row r="372" spans="1:254" s="2" customFormat="1" ht="24.75" customHeight="1">
      <c r="A372" s="11">
        <v>370</v>
      </c>
      <c r="B372" s="12" t="str">
        <f>"张磊"</f>
        <v>张磊</v>
      </c>
      <c r="C372" s="13" t="s">
        <v>29</v>
      </c>
      <c r="D372" s="13" t="str">
        <f>"230702206606"</f>
        <v>230702206606</v>
      </c>
      <c r="E372" s="18">
        <v>67.61500000000001</v>
      </c>
      <c r="F372" s="19" t="s">
        <v>10</v>
      </c>
      <c r="G372" s="19" t="s">
        <v>10</v>
      </c>
      <c r="H372" s="11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0"/>
      <c r="CP372" s="20"/>
      <c r="CQ372" s="20"/>
      <c r="CR372" s="20"/>
      <c r="CS372" s="20"/>
      <c r="CT372" s="20"/>
      <c r="CU372" s="20"/>
      <c r="CV372" s="20"/>
      <c r="CW372" s="20"/>
      <c r="CX372" s="20"/>
      <c r="CY372" s="20"/>
      <c r="CZ372" s="20"/>
      <c r="DA372" s="20"/>
      <c r="DB372" s="20"/>
      <c r="DC372" s="20"/>
      <c r="DD372" s="20"/>
      <c r="DE372" s="20"/>
      <c r="DF372" s="20"/>
      <c r="DG372" s="20"/>
      <c r="DH372" s="20"/>
      <c r="DI372" s="20"/>
      <c r="DJ372" s="20"/>
      <c r="DK372" s="20"/>
      <c r="DL372" s="20"/>
      <c r="DM372" s="20"/>
      <c r="DN372" s="20"/>
      <c r="DO372" s="20"/>
      <c r="DP372" s="20"/>
      <c r="DQ372" s="20"/>
      <c r="DR372" s="20"/>
      <c r="DS372" s="20"/>
      <c r="DT372" s="20"/>
      <c r="DU372" s="20"/>
      <c r="DV372" s="20"/>
      <c r="DW372" s="20"/>
      <c r="DX372" s="20"/>
      <c r="DY372" s="20"/>
      <c r="DZ372" s="20"/>
      <c r="EA372" s="20"/>
      <c r="EB372" s="20"/>
      <c r="EC372" s="20"/>
      <c r="ED372" s="20"/>
      <c r="EE372" s="20"/>
      <c r="EF372" s="20"/>
      <c r="EG372" s="20"/>
      <c r="EH372" s="20"/>
      <c r="EI372" s="20"/>
      <c r="EJ372" s="20"/>
      <c r="EK372" s="20"/>
      <c r="EL372" s="20"/>
      <c r="EM372" s="20"/>
      <c r="EN372" s="20"/>
      <c r="EO372" s="20"/>
      <c r="EP372" s="20"/>
      <c r="EQ372" s="20"/>
      <c r="ER372" s="20"/>
      <c r="ES372" s="20"/>
      <c r="ET372" s="20"/>
      <c r="EU372" s="20"/>
      <c r="EV372" s="20"/>
      <c r="EW372" s="20"/>
      <c r="EX372" s="20"/>
      <c r="EY372" s="20"/>
      <c r="EZ372" s="20"/>
      <c r="FA372" s="20"/>
      <c r="FB372" s="20"/>
      <c r="FC372" s="20"/>
      <c r="FD372" s="20"/>
      <c r="FE372" s="20"/>
      <c r="FF372" s="20"/>
      <c r="FG372" s="20"/>
      <c r="FH372" s="20"/>
      <c r="FI372" s="20"/>
      <c r="FJ372" s="20"/>
      <c r="FK372" s="20"/>
      <c r="FL372" s="20"/>
      <c r="FM372" s="20"/>
      <c r="FN372" s="20"/>
      <c r="FO372" s="20"/>
      <c r="FP372" s="20"/>
      <c r="FQ372" s="20"/>
      <c r="FR372" s="20"/>
      <c r="FS372" s="20"/>
      <c r="FT372" s="20"/>
      <c r="FU372" s="20"/>
      <c r="FV372" s="20"/>
      <c r="FW372" s="20"/>
      <c r="FX372" s="20"/>
      <c r="FY372" s="20"/>
      <c r="FZ372" s="20"/>
      <c r="GA372" s="20"/>
      <c r="GB372" s="20"/>
      <c r="GC372" s="20"/>
      <c r="GD372" s="20"/>
      <c r="GE372" s="20"/>
      <c r="GF372" s="20"/>
      <c r="GG372" s="20"/>
      <c r="GH372" s="20"/>
      <c r="GI372" s="20"/>
      <c r="GJ372" s="20"/>
      <c r="GK372" s="20"/>
      <c r="GL372" s="20"/>
      <c r="GM372" s="20"/>
      <c r="GN372" s="20"/>
      <c r="GO372" s="20"/>
      <c r="GP372" s="20"/>
      <c r="GQ372" s="20"/>
      <c r="GR372" s="21"/>
      <c r="GS372" s="21"/>
      <c r="GT372" s="21"/>
      <c r="GU372" s="21"/>
      <c r="GV372" s="21"/>
      <c r="GW372" s="21"/>
      <c r="GX372" s="21"/>
      <c r="GY372" s="21"/>
      <c r="GZ372" s="21"/>
      <c r="HA372" s="21"/>
      <c r="HB372" s="21"/>
      <c r="HC372" s="21"/>
      <c r="HD372" s="21"/>
      <c r="HE372" s="21"/>
      <c r="HF372" s="21"/>
      <c r="HG372" s="21"/>
      <c r="HH372" s="21"/>
      <c r="HI372" s="21"/>
      <c r="HJ372" s="21"/>
      <c r="HK372" s="21"/>
      <c r="HL372" s="21"/>
      <c r="HM372" s="21"/>
      <c r="HN372" s="21"/>
      <c r="HO372" s="21"/>
      <c r="HP372" s="21"/>
      <c r="HQ372" s="21"/>
      <c r="HR372" s="21"/>
      <c r="HS372" s="21"/>
      <c r="HT372" s="21"/>
      <c r="HU372" s="21"/>
      <c r="HV372" s="21"/>
      <c r="HW372" s="21"/>
      <c r="HX372" s="21"/>
      <c r="HY372" s="21"/>
      <c r="HZ372" s="21"/>
      <c r="IA372" s="21"/>
      <c r="IB372" s="21"/>
      <c r="IC372" s="21"/>
      <c r="ID372" s="21"/>
      <c r="IE372" s="21"/>
      <c r="IF372" s="21"/>
      <c r="IG372" s="21"/>
      <c r="IH372" s="21"/>
      <c r="II372" s="21"/>
      <c r="IJ372" s="21"/>
      <c r="IK372" s="21"/>
      <c r="IL372" s="21"/>
      <c r="IM372" s="21"/>
      <c r="IN372" s="21"/>
      <c r="IO372" s="21"/>
      <c r="IP372" s="21"/>
      <c r="IQ372" s="21"/>
      <c r="IR372" s="21"/>
      <c r="IS372" s="21"/>
      <c r="IT372" s="21"/>
    </row>
  </sheetData>
  <sheetProtection selectLockedCells="1" selectUnlockedCells="1"/>
  <mergeCells count="1">
    <mergeCell ref="A1:H1"/>
  </mergeCells>
  <conditionalFormatting sqref="B2:B372">
    <cfRule type="expression" priority="4" dxfId="0" stopIfTrue="1">
      <formula>AND(COUNTIF($B$2:$B$372,B2)&gt;1,NOT(ISBLANK(B2)))</formula>
    </cfRule>
  </conditionalFormatting>
  <conditionalFormatting sqref="D2 D301:D328 D332:D351 D190:D297 D373:D65536">
    <cfRule type="expression" priority="3" dxfId="1" stopIfTrue="1">
      <formula>AND(COUNTIF($D$2,D2)+COUNTIF($D$301:$D$328,D2)+COUNTIF($D$332:$D$351,D2)+COUNTIF($D$190:$D$297,D2)+COUNTIF($D$373:$D$65536,D2)&gt;1,NOT(ISBLANK(D2)))</formula>
    </cfRule>
  </conditionalFormatting>
  <printOptions horizontalCentered="1"/>
  <pageMargins left="0.19652777777777802" right="0.19652777777777802" top="0.39305555555555605" bottom="0.313888888888889" header="0.511805555555556" footer="0.0777777777777778"/>
  <pageSetup fitToHeight="0" fitToWidth="1" horizontalDpi="600" verticalDpi="600" orientation="portrait" paperSize="9" scale="8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cp:lastPrinted>2023-07-11T22:58:00Z</cp:lastPrinted>
  <dcterms:created xsi:type="dcterms:W3CDTF">2023-07-09T11:50:00Z</dcterms:created>
  <dcterms:modified xsi:type="dcterms:W3CDTF">2023-07-31T15:05:48Z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F250870C20BD730FFD64B1644C76C978_43</vt:lpwstr>
  </property>
  <property fmtid="{D5CDD505-2E9C-101B-9397-08002B2CF9AE}" pid="3" name="KSOProductBuildV">
    <vt:lpwstr>2052-11.8.2.10587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